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1840" windowHeight="9285"/>
  </bookViews>
  <sheets>
    <sheet name="CÁLCULO AL. EF. ISSQN" sheetId="4" r:id="rId1"/>
    <sheet name="ANEXO III" sheetId="1" r:id="rId2"/>
    <sheet name="ANEXO IV" sheetId="2" r:id="rId3"/>
    <sheet name="ANEXO V" sheetId="3" r:id="rId4"/>
  </sheets>
  <calcPr calcId="124519"/>
</workbook>
</file>

<file path=xl/calcChain.xml><?xml version="1.0" encoding="utf-8"?>
<calcChain xmlns="http://schemas.openxmlformats.org/spreadsheetml/2006/main">
  <c r="B11" i="4"/>
  <c r="B14"/>
  <c r="C9"/>
  <c r="C8"/>
  <c r="C7"/>
  <c r="M30"/>
  <c r="J30"/>
  <c r="H30"/>
  <c r="I30" s="1"/>
  <c r="H29"/>
  <c r="K29" s="1"/>
  <c r="L29" s="1"/>
  <c r="M29" s="1"/>
  <c r="H28"/>
  <c r="I28" s="1"/>
  <c r="J28" s="1"/>
  <c r="H27"/>
  <c r="K27" s="1"/>
  <c r="L27" s="1"/>
  <c r="M27" s="1"/>
  <c r="H26"/>
  <c r="I26" s="1"/>
  <c r="J26" s="1"/>
  <c r="H25"/>
  <c r="K25" s="1"/>
  <c r="L25" s="1"/>
  <c r="M25" s="1"/>
  <c r="M20"/>
  <c r="J20"/>
  <c r="H20"/>
  <c r="I20" s="1"/>
  <c r="H19"/>
  <c r="K19" s="1"/>
  <c r="L19" s="1"/>
  <c r="M19" s="1"/>
  <c r="H18"/>
  <c r="I18" s="1"/>
  <c r="J18" s="1"/>
  <c r="H17"/>
  <c r="K17" s="1"/>
  <c r="L17" s="1"/>
  <c r="M17" s="1"/>
  <c r="H16"/>
  <c r="I16" s="1"/>
  <c r="J16" s="1"/>
  <c r="H15"/>
  <c r="K15" s="1"/>
  <c r="L15" s="1"/>
  <c r="M15" s="1"/>
  <c r="H10"/>
  <c r="H9"/>
  <c r="I9" s="1"/>
  <c r="H8"/>
  <c r="I8" s="1"/>
  <c r="H7"/>
  <c r="I7" s="1"/>
  <c r="H6"/>
  <c r="I6" s="1"/>
  <c r="H5"/>
  <c r="I5" s="1"/>
  <c r="K24"/>
  <c r="L24" s="1"/>
  <c r="M24" s="1"/>
  <c r="H24"/>
  <c r="I24" s="1"/>
  <c r="J24" s="1"/>
  <c r="K14"/>
  <c r="L14" s="1"/>
  <c r="M14" s="1"/>
  <c r="H14"/>
  <c r="I14" s="1"/>
  <c r="J14" s="1"/>
  <c r="D9" l="1"/>
  <c r="D8"/>
  <c r="I25"/>
  <c r="J25" s="1"/>
  <c r="I29"/>
  <c r="J29" s="1"/>
  <c r="I19"/>
  <c r="J19" s="1"/>
  <c r="I17"/>
  <c r="J17" s="1"/>
  <c r="I15"/>
  <c r="J15" s="1"/>
  <c r="I27"/>
  <c r="J27" s="1"/>
  <c r="K28"/>
  <c r="L28" s="1"/>
  <c r="M28" s="1"/>
  <c r="K26"/>
  <c r="L26" s="1"/>
  <c r="M26" s="1"/>
  <c r="K30"/>
  <c r="L30" s="1"/>
  <c r="K18"/>
  <c r="L18" s="1"/>
  <c r="M18" s="1"/>
  <c r="K16"/>
  <c r="L16" s="1"/>
  <c r="M16" s="1"/>
  <c r="K20"/>
  <c r="L20" s="1"/>
  <c r="M10"/>
  <c r="J10"/>
  <c r="H4"/>
  <c r="I4" s="1"/>
  <c r="J4" s="1"/>
  <c r="K4"/>
  <c r="L4" s="1"/>
  <c r="M4" s="1"/>
  <c r="D7" s="1"/>
  <c r="K10"/>
  <c r="L10" s="1"/>
  <c r="K9"/>
  <c r="L9" s="1"/>
  <c r="M9" s="1"/>
  <c r="K8"/>
  <c r="L8" s="1"/>
  <c r="M8" s="1"/>
  <c r="K7"/>
  <c r="L7" s="1"/>
  <c r="M7" s="1"/>
  <c r="K6"/>
  <c r="L6" s="1"/>
  <c r="M6" s="1"/>
  <c r="K5"/>
  <c r="L5" s="1"/>
  <c r="M5" s="1"/>
  <c r="I10" l="1"/>
  <c r="J8"/>
  <c r="J7"/>
  <c r="J5"/>
  <c r="J6"/>
  <c r="J9"/>
</calcChain>
</file>

<file path=xl/sharedStrings.xml><?xml version="1.0" encoding="utf-8"?>
<sst xmlns="http://schemas.openxmlformats.org/spreadsheetml/2006/main" count="198" uniqueCount="65">
  <si>
    <t>Receita Bruta em 12 Meses (em R$)</t>
  </si>
  <si>
    <t>Alíquota</t>
  </si>
  <si>
    <t>Valor a Deduzir (em R$)</t>
  </si>
  <si>
    <r>
      <t>1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</t>
    </r>
  </si>
  <si>
    <t>Até 180.000,00</t>
  </si>
  <si>
    <t>-</t>
  </si>
  <si>
    <r>
      <t>2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</t>
    </r>
  </si>
  <si>
    <t>De 180.000,01 a 360.000,00</t>
  </si>
  <si>
    <r>
      <t>3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</t>
    </r>
  </si>
  <si>
    <t>De 360.000,01 a 720.000,00</t>
  </si>
  <si>
    <r>
      <t>4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</t>
    </r>
  </si>
  <si>
    <t>De 720.000,01 a 1.800.000,00</t>
  </si>
  <si>
    <r>
      <t>5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</t>
    </r>
  </si>
  <si>
    <t>De 1.800.000,01 a 3.600.000,00</t>
  </si>
  <si>
    <r>
      <t>6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</t>
    </r>
  </si>
  <si>
    <t>De 3.600.000,01 a 4.800.000,00</t>
  </si>
  <si>
    <t>Faixas</t>
  </si>
  <si>
    <t>Percentual de Repartição dos Tributos</t>
  </si>
  <si>
    <t>IRPJ</t>
  </si>
  <si>
    <t>CSLL</t>
  </si>
  <si>
    <t>Cofins</t>
  </si>
  <si>
    <t>PIS/Pasep</t>
  </si>
  <si>
    <t>ISS (*)</t>
  </si>
  <si>
    <t>40,00% (*)</t>
  </si>
  <si>
    <t>–</t>
  </si>
  <si>
    <t>CPP</t>
  </si>
  <si>
    <t>33,50% (*)</t>
  </si>
  <si>
    <r>
      <t>(*) O percentual efetivo máximo devido ao ISS será de 5%, transferindo-se a diferença, de forma proporcional, aos tributos federais da mesma faixa de receita bruta anual. Sendo assim, na 5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faixa, quando a alíquota efetiva for superior a 14,92537%, a repartição será:</t>
    </r>
  </si>
  <si>
    <t>ISS</t>
  </si>
  <si>
    <t>Percentual de ISS fixo em 5%</t>
  </si>
  <si>
    <r>
      <t>5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Faixa, com alíquota efetiva superior a 14,93%</t>
    </r>
  </si>
  <si>
    <r>
      <t>(*) O percentual efetivo máximo devido ao ISS será de 5%, transferindo-se a diferença, de forma proporcional, aos tributos federais da mesma faixa de receita bruta anual. Sendo assim, na 5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faixa, quando a alíquota efetiva for superior a 12,5%, a repartição será:</t>
    </r>
  </si>
  <si>
    <t>Alíquota efetiva – 5%) x 31,33%</t>
  </si>
  <si>
    <t>(Alíquota efetiva – 5%) x 32,00%</t>
  </si>
  <si>
    <t>(Alíquota efetiva – 5%) x 30,13%</t>
  </si>
  <si>
    <t>Alíquota efetiva – 5%) x 6,54%</t>
  </si>
  <si>
    <r>
      <t>5</t>
    </r>
    <r>
      <rPr>
        <u/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 Faixa, com alíquota efetiva superior a 12,5%</t>
    </r>
  </si>
  <si>
    <t>Alíquotas e Partilha do Simples Nacional - Receitas de locação de bens móveis e de prestação de serviços não relacionados no § 5º-C do art. 18 da LC116/2003</t>
  </si>
  <si>
    <t>(Alíquota efetiva - 5%) x 6,02%</t>
  </si>
  <si>
    <t>(Alíquota efetiva - 5%) x 5,26%</t>
  </si>
  <si>
    <t>(Alíquota efetiva - 5%) x 19,28%</t>
  </si>
  <si>
    <t>(Alíquota efetiva - 5%) x 4,18%</t>
  </si>
  <si>
    <t>(Alíquota efetiva - 5%) x 65,26%</t>
  </si>
  <si>
    <t>Percentual ISS fixo em 5%</t>
  </si>
  <si>
    <t>Alíquotas e Partilha do Simples Nacional – Receitas decorrentes da prestação de serviços relacionados no § 5o-C do art. 18 da LC 116/2003</t>
  </si>
  <si>
    <r>
      <t>Alíquotas e Partilha do Simples Nacional - Receitas decorrentes da prestação de serviços relacionados no § 5</t>
    </r>
    <r>
      <rPr>
        <b/>
        <u/>
        <vertAlign val="superscript"/>
        <sz val="10"/>
        <color rgb="FF000000"/>
        <rFont val="Arial"/>
        <family val="2"/>
      </rPr>
      <t>o</t>
    </r>
    <r>
      <rPr>
        <b/>
        <sz val="10"/>
        <color rgb="FF000000"/>
        <rFont val="Arial"/>
        <family val="2"/>
      </rPr>
      <t>-I do art. 18 da LC 166/2003</t>
    </r>
  </si>
  <si>
    <t>A. N. TOTAL</t>
  </si>
  <si>
    <t>A.N. ISS</t>
  </si>
  <si>
    <t>A.E. TOTAL</t>
  </si>
  <si>
    <t>A.E. ISS</t>
  </si>
  <si>
    <t>ANEXO III</t>
  </si>
  <si>
    <t>ANEXO IV</t>
  </si>
  <si>
    <t>ANEXO V</t>
  </si>
  <si>
    <r>
      <t>1</t>
    </r>
    <r>
      <rPr>
        <u/>
        <vertAlign val="superscript"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> Faixa</t>
    </r>
  </si>
  <si>
    <r>
      <t>2</t>
    </r>
    <r>
      <rPr>
        <u/>
        <vertAlign val="superscript"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> Faixa</t>
    </r>
  </si>
  <si>
    <r>
      <t>3</t>
    </r>
    <r>
      <rPr>
        <u/>
        <vertAlign val="superscript"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> Faixa</t>
    </r>
  </si>
  <si>
    <r>
      <t>4</t>
    </r>
    <r>
      <rPr>
        <u/>
        <vertAlign val="superscript"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> Faixa</t>
    </r>
  </si>
  <si>
    <r>
      <t>5</t>
    </r>
    <r>
      <rPr>
        <u/>
        <vertAlign val="superscript"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> Faixa</t>
    </r>
  </si>
  <si>
    <r>
      <t>6</t>
    </r>
    <r>
      <rPr>
        <u/>
        <vertAlign val="superscript"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> Faixa</t>
    </r>
  </si>
  <si>
    <r>
      <t xml:space="preserve">INFORME O </t>
    </r>
    <r>
      <rPr>
        <b/>
        <sz val="11"/>
        <color rgb="FF00B0F0"/>
        <rFont val="Calibri"/>
        <family val="2"/>
        <scheme val="minor"/>
      </rPr>
      <t>RBT-12</t>
    </r>
    <r>
      <rPr>
        <b/>
        <sz val="11"/>
        <color theme="0"/>
        <rFont val="Calibri"/>
        <family val="2"/>
        <scheme val="minor"/>
      </rPr>
      <t xml:space="preserve"> PARA CÁLCULO DA ALÍQUOTA  EFETIVA DE ISSQN (SIMPLES NACIONAL)</t>
    </r>
  </si>
  <si>
    <t>(**) ANEXO III</t>
  </si>
  <si>
    <t>(**) ANEXO IV</t>
  </si>
  <si>
    <t>(**) ANEXO V</t>
  </si>
  <si>
    <r>
      <t>(</t>
    </r>
    <r>
      <rPr>
        <b/>
        <sz val="11"/>
        <color rgb="FF0070C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) ALÍQUOTA EFETIVA ISS        </t>
    </r>
  </si>
  <si>
    <r>
      <t xml:space="preserve">Planilha/Calculadora desenvolvida para apuração de Alíquotas Efetivas/Retenção de ISSQN para empresas optantes pelo Regime Tributário Exclusivo do Simples Nacional de acordo com o disposto no </t>
    </r>
    <r>
      <rPr>
        <b/>
        <u/>
        <sz val="11"/>
        <color rgb="FF0070C0"/>
        <rFont val="Calibri"/>
        <family val="2"/>
        <scheme val="minor"/>
      </rPr>
      <t>Inciso I, §4º, Art. 21*</t>
    </r>
    <r>
      <rPr>
        <sz val="11"/>
        <color theme="1"/>
        <rFont val="Calibri"/>
        <family val="2"/>
        <scheme val="minor"/>
      </rPr>
      <t xml:space="preserve"> e respectivos</t>
    </r>
    <r>
      <rPr>
        <b/>
        <u/>
        <sz val="11"/>
        <color rgb="FF0070C0"/>
        <rFont val="Calibri"/>
        <family val="2"/>
        <scheme val="minor"/>
      </rPr>
      <t xml:space="preserve"> Anexos** da LC nº123/2006</t>
    </r>
    <r>
      <rPr>
        <sz val="11"/>
        <color theme="1"/>
        <rFont val="Calibri"/>
        <family val="2"/>
        <scheme val="minor"/>
      </rPr>
      <t xml:space="preserve"> concomitantes </t>
    </r>
    <r>
      <rPr>
        <b/>
        <u/>
        <sz val="11"/>
        <color rgb="FF0070C0"/>
        <rFont val="Calibri"/>
        <family val="2"/>
        <scheme val="minor"/>
      </rPr>
      <t xml:space="preserve">Arts. 8º e 8º-A da LC 116/2003 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</si>
</sst>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%"/>
    <numFmt numFmtId="165" formatCode="&quot;R$&quot;\ #,##0.00"/>
    <numFmt numFmtId="166" formatCode="0.0000000000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vertAlign val="superscript"/>
      <sz val="10"/>
      <color rgb="FF000000"/>
      <name val="Arial"/>
      <family val="2"/>
    </font>
    <font>
      <b/>
      <sz val="10"/>
      <color rgb="FF202124"/>
      <name val="Arial"/>
      <family val="2"/>
    </font>
    <font>
      <b/>
      <sz val="11"/>
      <color rgb="FF00B0F0"/>
      <name val="Calibri"/>
      <family val="2"/>
      <scheme val="minor"/>
    </font>
    <font>
      <sz val="10"/>
      <color theme="0"/>
      <name val="Arial"/>
      <family val="2"/>
    </font>
    <font>
      <u/>
      <vertAlign val="superscript"/>
      <sz val="10"/>
      <color theme="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0" fontId="0" fillId="0" borderId="0" xfId="2" applyNumberFormat="1" applyFont="1" applyAlignment="1" applyProtection="1">
      <alignment horizontal="center" vertical="center"/>
      <protection hidden="1"/>
    </xf>
    <xf numFmtId="10" fontId="4" fillId="0" borderId="0" xfId="2" applyNumberFormat="1" applyFont="1" applyBorder="1" applyAlignment="1" applyProtection="1">
      <alignment horizontal="center" vertical="center"/>
      <protection hidden="1"/>
    </xf>
    <xf numFmtId="164" fontId="4" fillId="0" borderId="0" xfId="2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0" fontId="11" fillId="0" borderId="0" xfId="2" applyNumberFormat="1" applyFont="1" applyBorder="1" applyAlignment="1" applyProtection="1">
      <alignment horizontal="center" vertical="center"/>
      <protection hidden="1"/>
    </xf>
    <xf numFmtId="10" fontId="11" fillId="0" borderId="0" xfId="0" applyNumberFormat="1" applyFont="1" applyBorder="1" applyAlignment="1" applyProtection="1">
      <alignment horizontal="center" vertical="center"/>
      <protection hidden="1"/>
    </xf>
    <xf numFmtId="4" fontId="11" fillId="0" borderId="0" xfId="0" applyNumberFormat="1" applyFont="1" applyBorder="1" applyAlignment="1" applyProtection="1">
      <alignment horizontal="center" vertical="center"/>
      <protection hidden="1"/>
    </xf>
    <xf numFmtId="43" fontId="3" fillId="0" borderId="19" xfId="1" applyFont="1" applyBorder="1" applyAlignment="1" applyProtection="1">
      <alignment horizontal="center" vertical="center"/>
      <protection hidden="1"/>
    </xf>
    <xf numFmtId="10" fontId="3" fillId="0" borderId="19" xfId="2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9" fontId="11" fillId="0" borderId="0" xfId="2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0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4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0" fontId="5" fillId="0" borderId="13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10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0" fontId="9" fillId="0" borderId="0" xfId="2" applyNumberFormat="1" applyFont="1" applyProtection="1">
      <protection hidden="1"/>
    </xf>
    <xf numFmtId="164" fontId="0" fillId="0" borderId="0" xfId="2" applyNumberFormat="1" applyFont="1" applyProtection="1">
      <protection hidden="1"/>
    </xf>
    <xf numFmtId="10" fontId="0" fillId="0" borderId="0" xfId="2" applyNumberFormat="1" applyFont="1" applyProtection="1">
      <protection hidden="1"/>
    </xf>
    <xf numFmtId="43" fontId="3" fillId="0" borderId="18" xfId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166" fontId="4" fillId="0" borderId="0" xfId="2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2" fillId="4" borderId="3" xfId="0" applyFont="1" applyFill="1" applyBorder="1" applyAlignment="1" applyProtection="1">
      <alignment horizontal="right" vertical="center"/>
      <protection hidden="1"/>
    </xf>
    <xf numFmtId="0" fontId="2" fillId="4" borderId="2" xfId="0" applyFont="1" applyFill="1" applyBorder="1" applyAlignment="1" applyProtection="1">
      <alignment horizontal="right" vertical="center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165" fontId="3" fillId="0" borderId="12" xfId="1" applyNumberFormat="1" applyFont="1" applyBorder="1" applyAlignment="1" applyProtection="1">
      <alignment horizontal="center" vertical="center"/>
      <protection locked="0" hidden="1"/>
    </xf>
    <xf numFmtId="165" fontId="3" fillId="0" borderId="14" xfId="1" applyNumberFormat="1" applyFont="1" applyBorder="1" applyAlignment="1" applyProtection="1">
      <alignment horizontal="center" vertical="center"/>
      <protection locked="0"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Porcentagem" xfId="2" builtinId="5"/>
    <cellStyle name="Separador de milhares" xfId="1" builtinId="3"/>
  </cellStyles>
  <dxfs count="12">
    <dxf>
      <font>
        <b/>
        <i val="0"/>
        <color rgb="FF002060"/>
      </font>
      <fill>
        <gradientFill degree="90">
          <stop position="0">
            <color theme="0" tint="-0.49803155613879818"/>
          </stop>
          <stop position="0.5">
            <color theme="0" tint="-5.0965910824915313E-2"/>
          </stop>
          <stop position="1">
            <color theme="0" tint="-0.49803155613879818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gradientFill degree="90">
          <stop position="0">
            <color theme="1" tint="0.49803155613879818"/>
          </stop>
          <stop position="0.5">
            <color theme="0"/>
          </stop>
          <stop position="1">
            <color theme="1" tint="0.49803155613879818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gradientFill degree="90">
          <stop position="0">
            <color theme="1" tint="0.34900967436750391"/>
          </stop>
          <stop position="0.5">
            <color theme="0"/>
          </stop>
          <stop position="1">
            <color theme="1" tint="0.3490096743675039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00B0F0"/>
          </stop>
          <stop position="0.5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ill>
        <gradientFill degree="90"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rgb="FFFFC000"/>
          </stop>
          <stop position="0.5">
            <color theme="0"/>
          </stop>
          <stop position="1">
            <color rgb="FFFFC000"/>
          </stop>
        </gradient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showGridLines="0" tabSelected="1" workbookViewId="0">
      <selection activeCell="B4" sqref="B4:C4"/>
    </sheetView>
  </sheetViews>
  <sheetFormatPr defaultColWidth="8.85546875" defaultRowHeight="15"/>
  <cols>
    <col min="1" max="1" width="1.28515625" style="1" customWidth="1"/>
    <col min="2" max="4" width="22.7109375" style="1" customWidth="1"/>
    <col min="5" max="5" width="5.28515625" style="1" customWidth="1"/>
    <col min="6" max="6" width="6.85546875" style="1" bestFit="1" customWidth="1"/>
    <col min="7" max="7" width="12.28515625" style="1" bestFit="1" customWidth="1"/>
    <col min="8" max="8" width="10.7109375" style="1" bestFit="1" customWidth="1"/>
    <col min="9" max="9" width="16.28515625" style="1" bestFit="1" customWidth="1"/>
    <col min="10" max="10" width="16.28515625" style="1" customWidth="1"/>
    <col min="11" max="11" width="10" style="1" bestFit="1" customWidth="1"/>
    <col min="12" max="12" width="17.85546875" style="51" bestFit="1" customWidth="1"/>
    <col min="13" max="13" width="17.85546875" style="51" customWidth="1"/>
    <col min="14" max="14" width="7.5703125" style="1" bestFit="1" customWidth="1"/>
    <col min="15" max="15" width="27.7109375" style="1" bestFit="1" customWidth="1"/>
    <col min="16" max="16" width="8.140625" style="1" bestFit="1" customWidth="1"/>
    <col min="17" max="17" width="22.140625" style="1" bestFit="1" customWidth="1"/>
    <col min="18" max="18" width="9.85546875" style="1" bestFit="1" customWidth="1"/>
    <col min="19" max="16384" width="8.85546875" style="1"/>
  </cols>
  <sheetData>
    <row r="1" spans="2:18" ht="7.15" customHeight="1" thickBot="1"/>
    <row r="2" spans="2:18">
      <c r="B2" s="72" t="s">
        <v>59</v>
      </c>
      <c r="C2" s="73"/>
      <c r="D2" s="2"/>
      <c r="G2" s="65" t="s">
        <v>50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8">
      <c r="B3" s="74"/>
      <c r="C3" s="75"/>
      <c r="D3" s="3"/>
      <c r="G3" s="4"/>
      <c r="H3" s="49" t="s">
        <v>46</v>
      </c>
      <c r="I3" s="66" t="s">
        <v>47</v>
      </c>
      <c r="J3" s="66"/>
      <c r="K3" s="49" t="s">
        <v>48</v>
      </c>
      <c r="L3" s="67" t="s">
        <v>49</v>
      </c>
      <c r="M3" s="67"/>
      <c r="N3" s="4"/>
      <c r="O3" s="68" t="s">
        <v>0</v>
      </c>
      <c r="P3" s="64" t="s">
        <v>1</v>
      </c>
      <c r="Q3" s="64" t="s">
        <v>2</v>
      </c>
      <c r="R3" s="64" t="s">
        <v>22</v>
      </c>
    </row>
    <row r="4" spans="2:18" ht="15.75" thickBot="1">
      <c r="B4" s="76">
        <v>0</v>
      </c>
      <c r="C4" s="77"/>
      <c r="D4" s="5"/>
      <c r="G4" s="4"/>
      <c r="H4" s="6">
        <f>IF($B$4&lt;180000.01,P5,IF(AND($B$4&gt;180000,$B$4&lt;360000.01),P6,IF(AND($B$4&gt;360000,$B$4&lt;720000.01),P7,IF(AND($B$4&gt;720000,$B$4&lt;1800000.01),P8,IF(AND($B$4&gt;1800000,$B$4&lt;3600000.01),P9,0)))))</f>
        <v>0.06</v>
      </c>
      <c r="I4" s="6">
        <f>IF($B$4&lt;180000.01,H4*R5,IF(AND($B$4&gt;180000,$B$4&lt;360000.01),H4*R6,IF(AND($B$4&gt;360000,$B$4&lt;720000.01),H4*R7,IF(AND($B$4&gt;720000,$B$4&lt;1800000.01),H4*R8,IF(AND($B$4&gt;1800000,$B$4&lt;3600000.01),H4*R9,"ISS REGIME GERAL")))))</f>
        <v>2.01E-2</v>
      </c>
      <c r="J4" s="6">
        <f>IF(I4&gt;0.05,0.05,I4)</f>
        <v>2.01E-2</v>
      </c>
      <c r="K4" s="6">
        <f>IF($B$4&lt;180000.01,P5,IF(AND($B$4&gt;180000,$B$4&lt;360000.01),($B$4*P6-Q6)/$B$4,IF(AND($B$4&gt;360000,$B$4&lt;720000.01),($B$4*P7-Q7)/$B$4,IF(AND($B$4&gt;720000,$B$4&lt;1800000.01),($B$4*P8-Q8)/$B$4,IF(AND($B$4&gt;1800000,$B$4&lt;3600000.01),($B$4*P9-Q9)/$B$4,0)))))</f>
        <v>0.06</v>
      </c>
      <c r="L4" s="52">
        <f>IF($B$4&lt;180000.01,K4*R5,IF(AND($B$4&gt;180000,$B$4&lt;360000.01),K4*R6,IF(AND($B$4&gt;360000,$B$4&lt;720000.01),K4*R7,IF(AND($B$4&gt;720000,$B$4&lt;1800000.01),K4*R8,IF(AND($B$4&gt;1800000,$B$4&lt;3600000.01),K4*R9,"ISS REGIME GERAL")))))</f>
        <v>2.01E-2</v>
      </c>
      <c r="M4" s="7">
        <f>IF(L4&gt;0.05,0.05,IF(L4&lt;0.02,0.02,L4))</f>
        <v>2.01E-2</v>
      </c>
      <c r="N4" s="8"/>
      <c r="O4" s="68"/>
      <c r="P4" s="64"/>
      <c r="Q4" s="64"/>
      <c r="R4" s="64"/>
    </row>
    <row r="5" spans="2:18" ht="15.75" thickBot="1">
      <c r="C5" s="9"/>
      <c r="D5" s="9"/>
      <c r="G5" s="10" t="s">
        <v>53</v>
      </c>
      <c r="H5" s="6">
        <f>IF($B$4&lt;180000.01,P5,0)</f>
        <v>0.06</v>
      </c>
      <c r="I5" s="6">
        <f>IF(H5&gt;0,H5*R5,0)</f>
        <v>2.01E-2</v>
      </c>
      <c r="J5" s="6">
        <f t="shared" ref="J5:J9" si="0">IF(I5&gt;0.05,0.05,I5)</f>
        <v>2.01E-2</v>
      </c>
      <c r="K5" s="11" t="e">
        <f t="shared" ref="K5:K10" si="1">IF(H5&gt;0,($B$4*H5-Q5)/$B$4,0)</f>
        <v>#DIV/0!</v>
      </c>
      <c r="L5" s="7" t="e">
        <f>K5*R5</f>
        <v>#DIV/0!</v>
      </c>
      <c r="M5" s="7" t="e">
        <f t="shared" ref="M5:M9" si="2">IF(L5&gt;0.05,0.05,IF(L5&lt;0.02,0.02,L5))</f>
        <v>#DIV/0!</v>
      </c>
      <c r="N5" s="4"/>
      <c r="O5" s="10" t="s">
        <v>4</v>
      </c>
      <c r="P5" s="12">
        <v>0.06</v>
      </c>
      <c r="Q5" s="10">
        <v>0</v>
      </c>
      <c r="R5" s="12">
        <v>0.33500000000000002</v>
      </c>
    </row>
    <row r="6" spans="2:18" ht="15.75" thickBot="1">
      <c r="B6" s="69" t="s">
        <v>63</v>
      </c>
      <c r="C6" s="70"/>
      <c r="D6" s="71"/>
      <c r="G6" s="10" t="s">
        <v>54</v>
      </c>
      <c r="H6" s="6">
        <f>IF(AND($B$4&gt;180000,$B$4&lt;360000.01),P6,0)</f>
        <v>0</v>
      </c>
      <c r="I6" s="6">
        <f>IF(H6&gt;0,H6*R6,0)</f>
        <v>0</v>
      </c>
      <c r="J6" s="6">
        <f t="shared" si="0"/>
        <v>0</v>
      </c>
      <c r="K6" s="11">
        <f t="shared" si="1"/>
        <v>0</v>
      </c>
      <c r="L6" s="7">
        <f>K6*R6</f>
        <v>0</v>
      </c>
      <c r="M6" s="7">
        <f t="shared" si="2"/>
        <v>0.02</v>
      </c>
      <c r="N6" s="4"/>
      <c r="O6" s="10" t="s">
        <v>7</v>
      </c>
      <c r="P6" s="12">
        <v>0.112</v>
      </c>
      <c r="Q6" s="13">
        <v>9360</v>
      </c>
      <c r="R6" s="12">
        <v>0.32</v>
      </c>
    </row>
    <row r="7" spans="2:18" ht="15.75" thickBot="1">
      <c r="B7" s="48" t="s">
        <v>60</v>
      </c>
      <c r="C7" s="14" t="str">
        <f>IF(B4&lt;180000.01,"1ª FAIXA",IF(AND(B4&gt;180000,B4&lt;360000.01),"2ª FAIXA",IF(AND(B4&gt;360000,B4&lt;720000.01),"3ª FAIXA",IF(AND(B4&gt;720000,B4&lt;1800000.01),"4ª FAIXA",IF(AND(B4&gt;1800000,B4&lt;3600000.01),"5ª FAIXA",IF(B4&gt;4800000,"EXCLUSÃO","6ª FAIXA - TRANSITÓRIO"))))))</f>
        <v>1ª FAIXA</v>
      </c>
      <c r="D7" s="15">
        <f>IF($B$4&gt;3600000,"ISS REGIME GERAL",M4)</f>
        <v>2.01E-2</v>
      </c>
      <c r="G7" s="10" t="s">
        <v>55</v>
      </c>
      <c r="H7" s="6">
        <f>IF(AND($B$4&gt;360000,$B$4&lt;720000.01),P7,0)</f>
        <v>0</v>
      </c>
      <c r="I7" s="6">
        <f>IF(H7&gt;0,H7*R7,0)</f>
        <v>0</v>
      </c>
      <c r="J7" s="6">
        <f t="shared" si="0"/>
        <v>0</v>
      </c>
      <c r="K7" s="11">
        <f t="shared" si="1"/>
        <v>0</v>
      </c>
      <c r="L7" s="7">
        <f>K7*R7</f>
        <v>0</v>
      </c>
      <c r="M7" s="7">
        <f t="shared" si="2"/>
        <v>0.02</v>
      </c>
      <c r="N7" s="4"/>
      <c r="O7" s="10" t="s">
        <v>9</v>
      </c>
      <c r="P7" s="12">
        <v>0.13500000000000001</v>
      </c>
      <c r="Q7" s="13">
        <v>17640</v>
      </c>
      <c r="R7" s="12">
        <v>0.32500000000000001</v>
      </c>
    </row>
    <row r="8" spans="2:18" ht="15.75" thickBot="1">
      <c r="B8" s="48" t="s">
        <v>61</v>
      </c>
      <c r="C8" s="14" t="str">
        <f>IF(B4&lt;180000.01,"1ª FAIXA",IF(AND(B4&gt;180000,B4&lt;360000.01),"2ª FAIXA",IF(AND(B4&gt;360000,B4&lt;720000.01),"3ª FAIXA",IF(AND(B4&gt;720000,B4&lt;1800000.01),"4ª FAIXA",IF(AND(B4&gt;1800000,B4&lt;3600000.01),"5ª FAIXA",IF(B4&gt;4800000,"EXCLUSÃO","6ª FAIXA - TRANSITÓRIO"))))))</f>
        <v>1ª FAIXA</v>
      </c>
      <c r="D8" s="15">
        <f>IF($B$4&gt;3600000,"ISS REGIME GERAL",M14)</f>
        <v>2.0025000000000001E-2</v>
      </c>
      <c r="G8" s="10" t="s">
        <v>56</v>
      </c>
      <c r="H8" s="6">
        <f>IF(AND($B$4&gt;720000,$B$4&lt;1800000.01),P8,0)</f>
        <v>0</v>
      </c>
      <c r="I8" s="6">
        <f>IF(H8&gt;0,H8*R8,0)</f>
        <v>0</v>
      </c>
      <c r="J8" s="6">
        <f t="shared" si="0"/>
        <v>0</v>
      </c>
      <c r="K8" s="11">
        <f t="shared" si="1"/>
        <v>0</v>
      </c>
      <c r="L8" s="7">
        <f>K8*R8</f>
        <v>0</v>
      </c>
      <c r="M8" s="7">
        <f t="shared" si="2"/>
        <v>0.02</v>
      </c>
      <c r="N8" s="4"/>
      <c r="O8" s="10" t="s">
        <v>11</v>
      </c>
      <c r="P8" s="12">
        <v>0.16</v>
      </c>
      <c r="Q8" s="13">
        <v>35640</v>
      </c>
      <c r="R8" s="12">
        <v>0.32500000000000001</v>
      </c>
    </row>
    <row r="9" spans="2:18" ht="15.75" thickBot="1">
      <c r="B9" s="48" t="s">
        <v>62</v>
      </c>
      <c r="C9" s="14" t="str">
        <f>IF(B4&lt;180000.01,"1ª FAIXA",IF(AND(B4&gt;180000,B4&lt;360000.01),"2ª FAIXA",IF(AND(B4&gt;360000,B4&lt;720000.01),"3ª FAIXA",IF(AND(B4&gt;720000,B4&lt;1800000.01),"4ª FAIXA",IF(AND(B4&gt;1800000,B4&lt;3600000.01),"5ª FAIXA",IF(B4&gt;4800000,"EXCLUSÃO","6ª FAIXA - TRANSITÓRIO"))))))</f>
        <v>1ª FAIXA</v>
      </c>
      <c r="D9" s="15">
        <f>IF($B$4&gt;3600000,"ISS REGIME GERAL",M24)</f>
        <v>2.1700000000000001E-2</v>
      </c>
      <c r="G9" s="10" t="s">
        <v>57</v>
      </c>
      <c r="H9" s="6">
        <f>IF(AND($B$4&gt;1800000,$B$4&lt;3600000.01),P9,0)</f>
        <v>0</v>
      </c>
      <c r="I9" s="6">
        <f>IF(H9&gt;0,H9*R9,0)</f>
        <v>0</v>
      </c>
      <c r="J9" s="6">
        <f t="shared" si="0"/>
        <v>0</v>
      </c>
      <c r="K9" s="11">
        <f t="shared" si="1"/>
        <v>0</v>
      </c>
      <c r="L9" s="7">
        <f>K9*R9</f>
        <v>0</v>
      </c>
      <c r="M9" s="7">
        <f t="shared" si="2"/>
        <v>0.02</v>
      </c>
      <c r="N9" s="4"/>
      <c r="O9" s="10" t="s">
        <v>13</v>
      </c>
      <c r="P9" s="12">
        <v>0.21</v>
      </c>
      <c r="Q9" s="13">
        <v>125640</v>
      </c>
      <c r="R9" s="12">
        <v>0.33500000000000002</v>
      </c>
    </row>
    <row r="10" spans="2:18">
      <c r="G10" s="10" t="s">
        <v>58</v>
      </c>
      <c r="H10" s="6">
        <f>IF(AND($B$4&gt;3600000,$B$4&lt;4800000.01),P10,0)</f>
        <v>0</v>
      </c>
      <c r="I10" s="6">
        <f>IF(H10&gt;0,H10*0,0)</f>
        <v>0</v>
      </c>
      <c r="J10" s="6" t="str">
        <f>""</f>
        <v/>
      </c>
      <c r="K10" s="11">
        <f t="shared" si="1"/>
        <v>0</v>
      </c>
      <c r="L10" s="7">
        <f>IF(K10&gt;0,K10*0,0)</f>
        <v>0</v>
      </c>
      <c r="M10" s="7" t="str">
        <f>""</f>
        <v/>
      </c>
      <c r="N10" s="4"/>
      <c r="O10" s="10" t="s">
        <v>15</v>
      </c>
      <c r="P10" s="12">
        <v>0.33</v>
      </c>
      <c r="Q10" s="13">
        <v>648000</v>
      </c>
      <c r="R10" s="10" t="s">
        <v>24</v>
      </c>
    </row>
    <row r="11" spans="2:18" ht="14.45" customHeight="1">
      <c r="B11" s="62" t="str">
        <f>IF(AND(B4&gt;180000,B4&lt;189090.91),"Atenção: ANEXO III - Alíquota Mínima de ISS de 2%, conforme Art. 8º-A da LC 116/2003.",IF(AND(B4&gt;2068275.18,B4&lt;3600000.01),"Atenção: ANEXO III - Alíquota Máxima de ISS de 5%, conforme Art. 8º da LC 116/2003.",""))</f>
        <v/>
      </c>
      <c r="C11" s="62"/>
      <c r="D11" s="6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>
      <c r="B12" s="62"/>
      <c r="C12" s="62"/>
      <c r="D12" s="62"/>
      <c r="G12" s="65" t="s">
        <v>51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2:18">
      <c r="B13" s="50"/>
      <c r="C13" s="50"/>
      <c r="D13" s="50"/>
      <c r="G13" s="4"/>
      <c r="H13" s="49" t="s">
        <v>46</v>
      </c>
      <c r="I13" s="66" t="s">
        <v>47</v>
      </c>
      <c r="J13" s="66"/>
      <c r="K13" s="49" t="s">
        <v>48</v>
      </c>
      <c r="L13" s="67" t="s">
        <v>49</v>
      </c>
      <c r="M13" s="67"/>
      <c r="N13" s="4"/>
      <c r="O13" s="68" t="s">
        <v>0</v>
      </c>
      <c r="P13" s="64" t="s">
        <v>1</v>
      </c>
      <c r="Q13" s="64" t="s">
        <v>2</v>
      </c>
      <c r="R13" s="64" t="s">
        <v>22</v>
      </c>
    </row>
    <row r="14" spans="2:18">
      <c r="B14" s="63" t="str">
        <f>IF(AND(B4&gt;180000,B4&lt;202500),"Atenção: ANEXO IV - Alíquota Mínima de ISS de 2%, conforme Art. 8º-A da LC 116/2003.",IF(AND(B4&gt;1934526.31,B4&lt;3600000.01),"Atenção: ANEXO IV - Alíquota Máxima de ISS de 5%, conforme Art. 8º da LC 116/2003.",""))</f>
        <v/>
      </c>
      <c r="C14" s="63"/>
      <c r="D14" s="63"/>
      <c r="G14" s="4"/>
      <c r="H14" s="6">
        <f>IF($B$4&lt;180000.01,P15,IF(AND($B$4&gt;180000,$B$4&lt;360000.01),P16,IF(AND($B$4&gt;360000,$B$4&lt;720000.01),P17,IF(AND($B$4&gt;720000,$B$4&lt;1800000.01),P18,IF(AND($B$4&gt;1800000,$B$4&lt;3600000.01),P19,0)))))</f>
        <v>4.4999999999999998E-2</v>
      </c>
      <c r="I14" s="6">
        <f>IF($B$4&lt;180000.01,H14*R15,IF(AND($B$4&gt;180000,$B$4&lt;360000.01),H14*R16,IF(AND($B$4&gt;360000,$B$4&lt;720000.01),H14*R17,IF(AND($B$4&gt;720000,$B$4&lt;1800000.01),H14*R18,IF(AND($B$4&gt;1800000,$B$4&lt;3600000.01),H14*R19,"ISS REGIME GERAL")))))</f>
        <v>2.0025000000000001E-2</v>
      </c>
      <c r="J14" s="6">
        <f>IF(I14&gt;0.05,0.05,I14)</f>
        <v>2.0025000000000001E-2</v>
      </c>
      <c r="K14" s="6">
        <f>IF($B$4&lt;180000.01,P15,IF(AND($B$4&gt;180000,$B$4&lt;360000.01),($B$4*P16-Q16)/$B$4,IF(AND($B$4&gt;360000,$B$4&lt;720000.01),($B$4*P17-Q17)/$B$4,IF(AND($B$4&gt;720000,$B$4&lt;1800000.01),($B$4*P18-Q18)/$B$4,IF(AND($B$4&gt;1800000,$B$4&lt;3600000.01),($B$4*P19-Q19)/$B$4,0)))))</f>
        <v>4.4999999999999998E-2</v>
      </c>
      <c r="L14" s="52">
        <f>IF($B$4&lt;180000.01,K14*R15,IF(AND($B$4&gt;180000,$B$4&lt;360000.01),K14*R16,IF(AND($B$4&gt;360000,$B$4&lt;720000.01),K14*R17,IF(AND($B$4&gt;720000,$B$4&lt;1800000.01),K14*R18,IF(AND($B$4&gt;1800000,$B$4&lt;3600000.01),K14*R19,"ISS REGIME GERAL")))))</f>
        <v>2.0025000000000001E-2</v>
      </c>
      <c r="M14" s="7">
        <f>IF(L14&gt;0.05,0.05,IF(L14&lt;0.02,0.02,L14))</f>
        <v>2.0025000000000001E-2</v>
      </c>
      <c r="N14" s="8"/>
      <c r="O14" s="68"/>
      <c r="P14" s="64"/>
      <c r="Q14" s="64"/>
      <c r="R14" s="64"/>
    </row>
    <row r="15" spans="2:18">
      <c r="B15" s="63"/>
      <c r="C15" s="63"/>
      <c r="D15" s="63"/>
      <c r="G15" s="10" t="s">
        <v>53</v>
      </c>
      <c r="H15" s="6">
        <f>IF($B$4&lt;180000.01,P15,0)</f>
        <v>4.4999999999999998E-2</v>
      </c>
      <c r="I15" s="6">
        <f>IF(H15&gt;0,H15*R15,0)</f>
        <v>2.0025000000000001E-2</v>
      </c>
      <c r="J15" s="6">
        <f t="shared" ref="J15:J19" si="3">IF(I15&gt;0.05,0.05,I15)</f>
        <v>2.0025000000000001E-2</v>
      </c>
      <c r="K15" s="11" t="e">
        <f t="shared" ref="K15:K20" si="4">IF(H15&gt;0,($B$4*H15-Q15)/$B$4,0)</f>
        <v>#DIV/0!</v>
      </c>
      <c r="L15" s="7" t="e">
        <f>K15*R15</f>
        <v>#DIV/0!</v>
      </c>
      <c r="M15" s="7" t="e">
        <f t="shared" ref="M15:M19" si="5">IF(L15&gt;0.05,0.05,IF(L15&lt;0.02,0.02,L15))</f>
        <v>#DIV/0!</v>
      </c>
      <c r="N15" s="16"/>
      <c r="O15" s="10" t="s">
        <v>4</v>
      </c>
      <c r="P15" s="12">
        <v>4.4999999999999998E-2</v>
      </c>
      <c r="Q15" s="10">
        <v>0</v>
      </c>
      <c r="R15" s="12">
        <v>0.44500000000000001</v>
      </c>
    </row>
    <row r="16" spans="2:18" ht="15.75" thickBot="1">
      <c r="G16" s="10" t="s">
        <v>54</v>
      </c>
      <c r="H16" s="6">
        <f>IF(AND($B$4&gt;180000,$B$4&lt;360000.01),P16,0)</f>
        <v>0</v>
      </c>
      <c r="I16" s="6">
        <f>IF(H16&gt;0,H16*R16,0)</f>
        <v>0</v>
      </c>
      <c r="J16" s="6">
        <f t="shared" si="3"/>
        <v>0</v>
      </c>
      <c r="K16" s="11">
        <f t="shared" si="4"/>
        <v>0</v>
      </c>
      <c r="L16" s="7">
        <f>K16*R16</f>
        <v>0</v>
      </c>
      <c r="M16" s="7">
        <f t="shared" si="5"/>
        <v>0.02</v>
      </c>
      <c r="N16" s="16"/>
      <c r="O16" s="10" t="s">
        <v>7</v>
      </c>
      <c r="P16" s="12">
        <v>0.09</v>
      </c>
      <c r="Q16" s="13">
        <v>8100</v>
      </c>
      <c r="R16" s="12">
        <v>0.4</v>
      </c>
    </row>
    <row r="17" spans="2:18">
      <c r="B17" s="53" t="s">
        <v>64</v>
      </c>
      <c r="C17" s="54"/>
      <c r="D17" s="55"/>
      <c r="G17" s="10" t="s">
        <v>55</v>
      </c>
      <c r="H17" s="6">
        <f>IF(AND($B$4&gt;360000,$B$4&lt;720000.01),P17,0)</f>
        <v>0</v>
      </c>
      <c r="I17" s="6">
        <f>IF(H17&gt;0,H17*R17,0)</f>
        <v>0</v>
      </c>
      <c r="J17" s="6">
        <f t="shared" si="3"/>
        <v>0</v>
      </c>
      <c r="K17" s="11">
        <f t="shared" si="4"/>
        <v>0</v>
      </c>
      <c r="L17" s="7">
        <f>K17*R17</f>
        <v>0</v>
      </c>
      <c r="M17" s="7">
        <f t="shared" si="5"/>
        <v>0.02</v>
      </c>
      <c r="N17" s="16"/>
      <c r="O17" s="10" t="s">
        <v>9</v>
      </c>
      <c r="P17" s="12">
        <v>0.10199999999999999</v>
      </c>
      <c r="Q17" s="13">
        <v>12420</v>
      </c>
      <c r="R17" s="12">
        <v>0.4</v>
      </c>
    </row>
    <row r="18" spans="2:18">
      <c r="B18" s="56"/>
      <c r="C18" s="57"/>
      <c r="D18" s="58"/>
      <c r="G18" s="10" t="s">
        <v>56</v>
      </c>
      <c r="H18" s="6">
        <f>IF(AND($B$4&gt;720000,$B$4&lt;1800000.01),P18,0)</f>
        <v>0</v>
      </c>
      <c r="I18" s="6">
        <f>IF(H18&gt;0,H18*R18,0)</f>
        <v>0</v>
      </c>
      <c r="J18" s="6">
        <f t="shared" si="3"/>
        <v>0</v>
      </c>
      <c r="K18" s="11">
        <f t="shared" si="4"/>
        <v>0</v>
      </c>
      <c r="L18" s="7">
        <f>K18*R18</f>
        <v>0</v>
      </c>
      <c r="M18" s="7">
        <f t="shared" si="5"/>
        <v>0.02</v>
      </c>
      <c r="N18" s="16"/>
      <c r="O18" s="10" t="s">
        <v>11</v>
      </c>
      <c r="P18" s="12">
        <v>0.14000000000000001</v>
      </c>
      <c r="Q18" s="13">
        <v>39780</v>
      </c>
      <c r="R18" s="12">
        <v>0.4</v>
      </c>
    </row>
    <row r="19" spans="2:18">
      <c r="B19" s="56"/>
      <c r="C19" s="57"/>
      <c r="D19" s="58"/>
      <c r="G19" s="10" t="s">
        <v>57</v>
      </c>
      <c r="H19" s="6">
        <f>IF(AND($B$4&gt;1800000,$B$4&lt;3600000.01),P19,0)</f>
        <v>0</v>
      </c>
      <c r="I19" s="6">
        <f>IF(H19&gt;0,H19*R19,0)</f>
        <v>0</v>
      </c>
      <c r="J19" s="6">
        <f t="shared" si="3"/>
        <v>0</v>
      </c>
      <c r="K19" s="11">
        <f t="shared" si="4"/>
        <v>0</v>
      </c>
      <c r="L19" s="7">
        <f>K19*R19</f>
        <v>0</v>
      </c>
      <c r="M19" s="7">
        <f t="shared" si="5"/>
        <v>0.02</v>
      </c>
      <c r="N19" s="16"/>
      <c r="O19" s="10" t="s">
        <v>13</v>
      </c>
      <c r="P19" s="12">
        <v>0.22</v>
      </c>
      <c r="Q19" s="13">
        <v>183780</v>
      </c>
      <c r="R19" s="17">
        <v>0.4</v>
      </c>
    </row>
    <row r="20" spans="2:18">
      <c r="B20" s="56"/>
      <c r="C20" s="57"/>
      <c r="D20" s="58"/>
      <c r="G20" s="10" t="s">
        <v>58</v>
      </c>
      <c r="H20" s="6">
        <f>IF(AND($B$4&gt;3600000,$B$4&lt;4800000.01),P20,0)</f>
        <v>0</v>
      </c>
      <c r="I20" s="6">
        <f>IF(H20&gt;0,H20*0,0)</f>
        <v>0</v>
      </c>
      <c r="J20" s="6" t="str">
        <f>""</f>
        <v/>
      </c>
      <c r="K20" s="11">
        <f t="shared" si="4"/>
        <v>0</v>
      </c>
      <c r="L20" s="7">
        <f>IF(K20&gt;0,K20*0,0)</f>
        <v>0</v>
      </c>
      <c r="M20" s="7" t="str">
        <f>""</f>
        <v/>
      </c>
      <c r="N20" s="16"/>
      <c r="O20" s="10" t="s">
        <v>15</v>
      </c>
      <c r="P20" s="12">
        <v>0.33</v>
      </c>
      <c r="Q20" s="13">
        <v>828000</v>
      </c>
      <c r="R20" s="10" t="s">
        <v>24</v>
      </c>
    </row>
    <row r="21" spans="2:18" ht="15.75" thickBot="1">
      <c r="B21" s="59"/>
      <c r="C21" s="60"/>
      <c r="D21" s="6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>
      <c r="G22" s="66" t="s">
        <v>52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2:18">
      <c r="G23" s="16"/>
      <c r="H23" s="49" t="s">
        <v>46</v>
      </c>
      <c r="I23" s="66" t="s">
        <v>47</v>
      </c>
      <c r="J23" s="66"/>
      <c r="K23" s="49" t="s">
        <v>48</v>
      </c>
      <c r="L23" s="67" t="s">
        <v>49</v>
      </c>
      <c r="M23" s="67"/>
      <c r="N23" s="16"/>
      <c r="O23" s="68" t="s">
        <v>0</v>
      </c>
      <c r="P23" s="64" t="s">
        <v>1</v>
      </c>
      <c r="Q23" s="64" t="s">
        <v>2</v>
      </c>
      <c r="R23" s="64" t="s">
        <v>22</v>
      </c>
    </row>
    <row r="24" spans="2:18">
      <c r="G24" s="16"/>
      <c r="H24" s="6">
        <f>IF($B$4&lt;180000.01,P25,IF(AND($B$4&gt;180000,$B$4&lt;360000.01),P26,IF(AND($B$4&gt;360000,$B$4&lt;720000.01),P27,IF(AND($B$4&gt;720000,$B$4&lt;1800000.01),P28,IF(AND($B$4&gt;1800000,$B$4&lt;3600000.01),P29,0)))))</f>
        <v>0.155</v>
      </c>
      <c r="I24" s="6">
        <f>IF($B$4&lt;180000.01,H24*R25,IF(AND($B$4&gt;180000,$B$4&lt;360000.01),H24*R26,IF(AND($B$4&gt;360000,$B$4&lt;720000.01),H24*R27,IF(AND($B$4&gt;720000,$B$4&lt;1800000.01),H24*R28,IF(AND($B$4&gt;1800000,$B$4&lt;3600000.01),H24*R29,"ISS REGIME GERAL")))))</f>
        <v>2.1700000000000001E-2</v>
      </c>
      <c r="J24" s="6">
        <f>IF(I24&gt;0.05,0.05,I24)</f>
        <v>2.1700000000000001E-2</v>
      </c>
      <c r="K24" s="6">
        <f>IF($B$4&lt;180000.01,P25,IF(AND($B$4&gt;180000,$B$4&lt;360000.01),($B$4*P26-Q26)/$B$4,IF(AND($B$4&gt;360000,$B$4&lt;720000.01),($B$4*P27-Q27)/$B$4,IF(AND($B$4&gt;720000,$B$4&lt;1800000.01),($B$4*P28-Q28)/$B$4,IF(AND($B$4&gt;1800000,$B$4&lt;3600000.01),($B$4*P29-Q29)/$B$4,0)))))</f>
        <v>0.155</v>
      </c>
      <c r="L24" s="52">
        <f>IF($B$4&lt;180000.01,K24*R25,IF(AND($B$4&gt;180000,$B$4&lt;360000.01),K24*R26,IF(AND($B$4&gt;360000,$B$4&lt;720000.01),K24*R27,IF(AND($B$4&gt;720000,$B$4&lt;1800000.01),K24*R28,IF(AND($B$4&gt;1800000,$B$4&lt;3600000.01),K24*R29,"ISS REGIME GERAL")))))</f>
        <v>2.1700000000000001E-2</v>
      </c>
      <c r="M24" s="7">
        <f>IF(L24&gt;0.05,0.05,IF(L24&lt;0.02,0.02,L24))</f>
        <v>2.1700000000000001E-2</v>
      </c>
      <c r="N24" s="8"/>
      <c r="O24" s="68"/>
      <c r="P24" s="64"/>
      <c r="Q24" s="64"/>
      <c r="R24" s="64"/>
    </row>
    <row r="25" spans="2:18">
      <c r="G25" s="10" t="s">
        <v>53</v>
      </c>
      <c r="H25" s="6">
        <f>IF($B$4&lt;180000.01,P25,0)</f>
        <v>0.155</v>
      </c>
      <c r="I25" s="6">
        <f>IF(H25&gt;0,H25*R25,0)</f>
        <v>2.1700000000000001E-2</v>
      </c>
      <c r="J25" s="6">
        <f t="shared" ref="J25:J29" si="6">IF(I25&gt;0.05,0.05,I25)</f>
        <v>2.1700000000000001E-2</v>
      </c>
      <c r="K25" s="11" t="e">
        <f t="shared" ref="K25:K30" si="7">IF(H25&gt;0,($B$4*H25-Q25)/$B$4,0)</f>
        <v>#DIV/0!</v>
      </c>
      <c r="L25" s="7" t="e">
        <f>K25*R25</f>
        <v>#DIV/0!</v>
      </c>
      <c r="M25" s="7" t="e">
        <f t="shared" ref="M25:M29" si="8">IF(L25&gt;0.05,0.05,IF(L25&lt;0.02,0.02,L25))</f>
        <v>#DIV/0!</v>
      </c>
      <c r="N25" s="16"/>
      <c r="O25" s="10" t="s">
        <v>4</v>
      </c>
      <c r="P25" s="12">
        <v>0.155</v>
      </c>
      <c r="Q25" s="10">
        <v>0</v>
      </c>
      <c r="R25" s="12">
        <v>0.14000000000000001</v>
      </c>
    </row>
    <row r="26" spans="2:18">
      <c r="G26" s="10" t="s">
        <v>54</v>
      </c>
      <c r="H26" s="6">
        <f>IF(AND($B$4&gt;180000,$B$4&lt;360000.01),P26,0)</f>
        <v>0</v>
      </c>
      <c r="I26" s="6">
        <f>IF(H26&gt;0,H26*R26,0)</f>
        <v>0</v>
      </c>
      <c r="J26" s="6">
        <f t="shared" si="6"/>
        <v>0</v>
      </c>
      <c r="K26" s="11">
        <f t="shared" si="7"/>
        <v>0</v>
      </c>
      <c r="L26" s="7">
        <f>K26*R26</f>
        <v>0</v>
      </c>
      <c r="M26" s="7">
        <f t="shared" si="8"/>
        <v>0.02</v>
      </c>
      <c r="N26" s="16"/>
      <c r="O26" s="10" t="s">
        <v>7</v>
      </c>
      <c r="P26" s="12">
        <v>0.18</v>
      </c>
      <c r="Q26" s="13">
        <v>4500</v>
      </c>
      <c r="R26" s="12">
        <v>0.17</v>
      </c>
    </row>
    <row r="27" spans="2:18">
      <c r="G27" s="10" t="s">
        <v>55</v>
      </c>
      <c r="H27" s="6">
        <f>IF(AND($B$4&gt;360000,$B$4&lt;720000.01),P27,0)</f>
        <v>0</v>
      </c>
      <c r="I27" s="6">
        <f>IF(H27&gt;0,H27*R27,0)</f>
        <v>0</v>
      </c>
      <c r="J27" s="6">
        <f t="shared" si="6"/>
        <v>0</v>
      </c>
      <c r="K27" s="11">
        <f t="shared" si="7"/>
        <v>0</v>
      </c>
      <c r="L27" s="7">
        <f>K27*R27</f>
        <v>0</v>
      </c>
      <c r="M27" s="7">
        <f t="shared" si="8"/>
        <v>0.02</v>
      </c>
      <c r="N27" s="16"/>
      <c r="O27" s="10" t="s">
        <v>9</v>
      </c>
      <c r="P27" s="12">
        <v>0.19500000000000001</v>
      </c>
      <c r="Q27" s="13">
        <v>9900</v>
      </c>
      <c r="R27" s="12">
        <v>0.19</v>
      </c>
    </row>
    <row r="28" spans="2:18">
      <c r="G28" s="10" t="s">
        <v>56</v>
      </c>
      <c r="H28" s="6">
        <f>IF(AND($B$4&gt;720000,$B$4&lt;1800000.01),P28,0)</f>
        <v>0</v>
      </c>
      <c r="I28" s="6">
        <f>IF(H28&gt;0,H28*R28,0)</f>
        <v>0</v>
      </c>
      <c r="J28" s="6">
        <f t="shared" si="6"/>
        <v>0</v>
      </c>
      <c r="K28" s="11">
        <f t="shared" si="7"/>
        <v>0</v>
      </c>
      <c r="L28" s="7">
        <f>K28*R28</f>
        <v>0</v>
      </c>
      <c r="M28" s="7">
        <f t="shared" si="8"/>
        <v>0.02</v>
      </c>
      <c r="N28" s="16"/>
      <c r="O28" s="10" t="s">
        <v>11</v>
      </c>
      <c r="P28" s="12">
        <v>0.20499999999999999</v>
      </c>
      <c r="Q28" s="13">
        <v>17100</v>
      </c>
      <c r="R28" s="12">
        <v>0.21</v>
      </c>
    </row>
    <row r="29" spans="2:18">
      <c r="G29" s="10" t="s">
        <v>57</v>
      </c>
      <c r="H29" s="6">
        <f>IF(AND($B$4&gt;1800000,$B$4&lt;3600000.01),P29,0)</f>
        <v>0</v>
      </c>
      <c r="I29" s="6">
        <f>IF(H29&gt;0,H29*R29,0)</f>
        <v>0</v>
      </c>
      <c r="J29" s="6">
        <f t="shared" si="6"/>
        <v>0</v>
      </c>
      <c r="K29" s="11">
        <f t="shared" si="7"/>
        <v>0</v>
      </c>
      <c r="L29" s="7">
        <f>K29*R29</f>
        <v>0</v>
      </c>
      <c r="M29" s="7">
        <f t="shared" si="8"/>
        <v>0.02</v>
      </c>
      <c r="N29" s="16"/>
      <c r="O29" s="10" t="s">
        <v>13</v>
      </c>
      <c r="P29" s="12">
        <v>0.23</v>
      </c>
      <c r="Q29" s="13">
        <v>62100</v>
      </c>
      <c r="R29" s="12">
        <v>0.23499999999999999</v>
      </c>
    </row>
    <row r="30" spans="2:18">
      <c r="G30" s="10" t="s">
        <v>58</v>
      </c>
      <c r="H30" s="6">
        <f>IF(AND($B$4&gt;3600000,$B$4&lt;4800000.01),P30,0)</f>
        <v>0</v>
      </c>
      <c r="I30" s="6">
        <f>IF(H30&gt;0,H30*0,0)</f>
        <v>0</v>
      </c>
      <c r="J30" s="6" t="str">
        <f>""</f>
        <v/>
      </c>
      <c r="K30" s="11">
        <f t="shared" si="7"/>
        <v>0</v>
      </c>
      <c r="L30" s="7">
        <f>IF(K30&gt;0,K30*0,0)</f>
        <v>0</v>
      </c>
      <c r="M30" s="7" t="str">
        <f>""</f>
        <v/>
      </c>
      <c r="N30" s="16"/>
      <c r="O30" s="10" t="s">
        <v>15</v>
      </c>
      <c r="P30" s="12">
        <v>0.30499999999999999</v>
      </c>
      <c r="Q30" s="13">
        <v>540000</v>
      </c>
      <c r="R30" s="10" t="s">
        <v>5</v>
      </c>
    </row>
  </sheetData>
  <sheetProtection password="914E" sheet="1" objects="1" scenarios="1" selectLockedCells="1"/>
  <mergeCells count="27">
    <mergeCell ref="I3:J3"/>
    <mergeCell ref="L3:M3"/>
    <mergeCell ref="G2:R2"/>
    <mergeCell ref="B6:D6"/>
    <mergeCell ref="B2:C3"/>
    <mergeCell ref="B4:C4"/>
    <mergeCell ref="P3:P4"/>
    <mergeCell ref="Q3:Q4"/>
    <mergeCell ref="R3:R4"/>
    <mergeCell ref="O3:O4"/>
    <mergeCell ref="G22:R22"/>
    <mergeCell ref="I23:J23"/>
    <mergeCell ref="L23:M23"/>
    <mergeCell ref="O23:O24"/>
    <mergeCell ref="P23:P24"/>
    <mergeCell ref="Q23:Q24"/>
    <mergeCell ref="R23:R24"/>
    <mergeCell ref="B17:D21"/>
    <mergeCell ref="B11:D12"/>
    <mergeCell ref="B14:D15"/>
    <mergeCell ref="Q13:Q14"/>
    <mergeCell ref="R13:R14"/>
    <mergeCell ref="G12:R12"/>
    <mergeCell ref="I13:J13"/>
    <mergeCell ref="L13:M13"/>
    <mergeCell ref="O13:O14"/>
    <mergeCell ref="P13:P14"/>
  </mergeCells>
  <conditionalFormatting sqref="B7:D9 B4">
    <cfRule type="expression" dxfId="11" priority="7">
      <formula>$B$4&gt;4800000</formula>
    </cfRule>
    <cfRule type="expression" dxfId="10" priority="17">
      <formula>$B$4&gt;3600000</formula>
    </cfRule>
    <cfRule type="expression" dxfId="9" priority="18">
      <formula>$B$4&gt;3400000</formula>
    </cfRule>
    <cfRule type="expression" dxfId="8" priority="19">
      <formula>$B$4&gt;1800000</formula>
    </cfRule>
    <cfRule type="expression" dxfId="7" priority="20">
      <formula>$B$4&gt;720000</formula>
    </cfRule>
    <cfRule type="expression" dxfId="6" priority="21">
      <formula>$B$4&gt;360000</formula>
    </cfRule>
    <cfRule type="expression" dxfId="5" priority="22">
      <formula>$B$4&gt;0</formula>
    </cfRule>
  </conditionalFormatting>
  <conditionalFormatting sqref="B13:D13">
    <cfRule type="notContainsBlanks" dxfId="4" priority="22">
      <formula>LEN(TRIM(B13))&gt;0</formula>
    </cfRule>
  </conditionalFormatting>
  <conditionalFormatting sqref="B11:D12">
    <cfRule type="containsText" dxfId="3" priority="4" operator="containsText" text="Atenção: ANEXO III - Alíquota Mínima de ISS de 2%, conforme Art. 8º-A da LC 116/2003.">
      <formula>NOT(ISERROR(SEARCH("Atenção: ANEXO III - Alíquota Mínima de ISS de 2%, conforme Art. 8º-A da LC 116/2003.",B11)))</formula>
    </cfRule>
    <cfRule type="containsText" dxfId="2" priority="2" operator="containsText" text="Atenção: ANEXO III - Alíquota Máxima de ISS de 5%, conforme Art. 8º da LC 116/2003.">
      <formula>NOT(ISERROR(SEARCH("Atenção: ANEXO III - Alíquota Máxima de ISS de 5%, conforme Art. 8º da LC 116/2003.",B11)))</formula>
    </cfRule>
  </conditionalFormatting>
  <conditionalFormatting sqref="B14:D15">
    <cfRule type="containsText" dxfId="1" priority="3" operator="containsText" text="Atenção: ANEXO IV - Alíquota Mínima de ISS de 2%, conforme Art. 8º-A da LC 116/2003.">
      <formula>NOT(ISERROR(SEARCH("Atenção: ANEXO IV - Alíquota Mínima de ISS de 2%, conforme Art. 8º-A da LC 116/2003.",B14)))</formula>
    </cfRule>
    <cfRule type="containsText" dxfId="0" priority="1" operator="containsText" text="Atenção: ANEXO IV - Alíquota Máxima de ISS de 5%, conforme Art. 8º da LC 116/2003.">
      <formula>NOT(ISERROR(SEARCH("Atenção: ANEXO IV - Alíquota Máxima de ISS de 5%, conforme Art. 8º da LC 116/2003.",B14)))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showGridLines="0" showRowColHeaders="0" zoomScale="90" zoomScaleNormal="90" workbookViewId="0">
      <selection sqref="A1:XFD1048576"/>
    </sheetView>
  </sheetViews>
  <sheetFormatPr defaultColWidth="8.85546875" defaultRowHeight="15"/>
  <cols>
    <col min="1" max="1" width="1.28515625" style="18" customWidth="1"/>
    <col min="2" max="2" width="41.140625" style="18" bestFit="1" customWidth="1"/>
    <col min="3" max="5" width="32.85546875" style="18" customWidth="1"/>
    <col min="6" max="6" width="26.7109375" style="18" bestFit="1" customWidth="1"/>
    <col min="7" max="7" width="27.7109375" style="18" bestFit="1" customWidth="1"/>
    <col min="8" max="8" width="23.140625" style="18" bestFit="1" customWidth="1"/>
    <col min="9" max="9" width="27.7109375" style="18" customWidth="1"/>
    <col min="10" max="10" width="18.42578125" style="18" customWidth="1"/>
    <col min="11" max="11" width="8.85546875" style="18"/>
    <col min="12" max="12" width="9.140625" style="18" customWidth="1"/>
    <col min="13" max="13" width="17.28515625" style="18" customWidth="1"/>
    <col min="14" max="16384" width="8.85546875" style="18"/>
  </cols>
  <sheetData>
    <row r="1" spans="2:13" ht="7.15" customHeight="1" thickBot="1"/>
    <row r="2" spans="2:13" ht="15.75" thickBot="1">
      <c r="B2" s="85" t="s">
        <v>37</v>
      </c>
      <c r="C2" s="86"/>
      <c r="D2" s="86"/>
      <c r="E2" s="87"/>
    </row>
    <row r="3" spans="2:13">
      <c r="B3" s="78" t="s">
        <v>0</v>
      </c>
      <c r="C3" s="88"/>
      <c r="D3" s="33" t="s">
        <v>1</v>
      </c>
      <c r="E3" s="34" t="s">
        <v>2</v>
      </c>
      <c r="F3" s="19"/>
      <c r="G3" s="19"/>
      <c r="H3" s="19"/>
      <c r="I3" s="35"/>
      <c r="J3" s="35"/>
      <c r="K3" s="35"/>
      <c r="L3" s="35"/>
      <c r="M3" s="35"/>
    </row>
    <row r="4" spans="2:13">
      <c r="B4" s="22" t="s">
        <v>3</v>
      </c>
      <c r="C4" s="23" t="s">
        <v>4</v>
      </c>
      <c r="D4" s="24">
        <v>0.06</v>
      </c>
      <c r="E4" s="25">
        <v>0</v>
      </c>
      <c r="F4" s="19"/>
      <c r="G4" s="19"/>
      <c r="H4" s="19"/>
      <c r="I4" s="35"/>
      <c r="J4" s="35"/>
      <c r="K4" s="35"/>
      <c r="L4" s="35"/>
      <c r="M4" s="35"/>
    </row>
    <row r="5" spans="2:13">
      <c r="B5" s="22" t="s">
        <v>6</v>
      </c>
      <c r="C5" s="23" t="s">
        <v>7</v>
      </c>
      <c r="D5" s="24">
        <v>0.112</v>
      </c>
      <c r="E5" s="26">
        <v>9360</v>
      </c>
      <c r="F5" s="19"/>
      <c r="G5" s="19"/>
      <c r="H5" s="19"/>
      <c r="I5" s="35"/>
      <c r="J5" s="35"/>
      <c r="K5" s="35"/>
      <c r="L5" s="35"/>
      <c r="M5" s="35"/>
    </row>
    <row r="6" spans="2:13">
      <c r="B6" s="22" t="s">
        <v>8</v>
      </c>
      <c r="C6" s="23" t="s">
        <v>9</v>
      </c>
      <c r="D6" s="24">
        <v>0.13500000000000001</v>
      </c>
      <c r="E6" s="26">
        <v>17640</v>
      </c>
      <c r="F6" s="19"/>
      <c r="G6" s="19"/>
      <c r="H6" s="19"/>
      <c r="I6" s="35"/>
      <c r="J6" s="35"/>
      <c r="K6" s="35"/>
      <c r="L6" s="35"/>
      <c r="M6" s="35"/>
    </row>
    <row r="7" spans="2:13">
      <c r="B7" s="22" t="s">
        <v>10</v>
      </c>
      <c r="C7" s="23" t="s">
        <v>11</v>
      </c>
      <c r="D7" s="24">
        <v>0.16</v>
      </c>
      <c r="E7" s="26">
        <v>35640</v>
      </c>
      <c r="F7" s="19"/>
      <c r="G7" s="19"/>
      <c r="H7" s="19"/>
      <c r="I7" s="35"/>
      <c r="J7" s="35"/>
      <c r="K7" s="35"/>
      <c r="L7" s="35"/>
      <c r="M7" s="35"/>
    </row>
    <row r="8" spans="2:13">
      <c r="B8" s="22" t="s">
        <v>12</v>
      </c>
      <c r="C8" s="23" t="s">
        <v>13</v>
      </c>
      <c r="D8" s="24">
        <v>0.21</v>
      </c>
      <c r="E8" s="26">
        <v>125640</v>
      </c>
      <c r="F8" s="19"/>
      <c r="G8" s="19"/>
      <c r="H8" s="19"/>
      <c r="I8" s="35"/>
      <c r="J8" s="35"/>
      <c r="K8" s="35"/>
      <c r="L8" s="35"/>
      <c r="M8" s="35"/>
    </row>
    <row r="9" spans="2:13" ht="15.75" thickBot="1">
      <c r="B9" s="27" t="s">
        <v>14</v>
      </c>
      <c r="C9" s="28" t="s">
        <v>15</v>
      </c>
      <c r="D9" s="29">
        <v>0.33</v>
      </c>
      <c r="E9" s="30">
        <v>648000</v>
      </c>
      <c r="F9" s="19"/>
      <c r="G9" s="19"/>
      <c r="H9" s="19"/>
      <c r="I9" s="35"/>
      <c r="J9" s="35"/>
      <c r="K9" s="35"/>
      <c r="L9" s="35"/>
      <c r="M9" s="35"/>
    </row>
    <row r="10" spans="2:13" ht="15.75" thickBot="1">
      <c r="B10" s="19"/>
      <c r="C10" s="19"/>
      <c r="D10" s="19"/>
      <c r="E10" s="19"/>
      <c r="F10" s="19"/>
      <c r="G10" s="19"/>
      <c r="H10" s="19"/>
      <c r="I10" s="35"/>
      <c r="J10" s="35"/>
      <c r="K10" s="35"/>
      <c r="L10" s="35"/>
      <c r="M10" s="35"/>
    </row>
    <row r="11" spans="2:13">
      <c r="B11" s="78" t="s">
        <v>16</v>
      </c>
      <c r="C11" s="80" t="s">
        <v>17</v>
      </c>
      <c r="D11" s="80"/>
      <c r="E11" s="80"/>
      <c r="F11" s="80"/>
      <c r="G11" s="80"/>
      <c r="H11" s="81"/>
      <c r="I11" s="41"/>
      <c r="J11" s="41"/>
      <c r="K11" s="41"/>
      <c r="L11" s="41"/>
      <c r="M11" s="41"/>
    </row>
    <row r="12" spans="2:13">
      <c r="B12" s="79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25</v>
      </c>
      <c r="H12" s="21" t="s">
        <v>22</v>
      </c>
      <c r="I12" s="36"/>
      <c r="J12" s="36"/>
      <c r="K12" s="36"/>
      <c r="L12" s="36"/>
      <c r="M12" s="36"/>
    </row>
    <row r="13" spans="2:13">
      <c r="B13" s="22" t="s">
        <v>3</v>
      </c>
      <c r="C13" s="24">
        <v>0.04</v>
      </c>
      <c r="D13" s="24">
        <v>3.5000000000000003E-2</v>
      </c>
      <c r="E13" s="24">
        <v>0.12820000000000001</v>
      </c>
      <c r="F13" s="24">
        <v>2.7799999999999998E-2</v>
      </c>
      <c r="G13" s="24">
        <v>0.434</v>
      </c>
      <c r="H13" s="31">
        <v>0.33500000000000002</v>
      </c>
      <c r="I13" s="36"/>
      <c r="J13" s="36"/>
      <c r="K13" s="36"/>
      <c r="L13" s="36"/>
      <c r="M13" s="36"/>
    </row>
    <row r="14" spans="2:13">
      <c r="B14" s="22" t="s">
        <v>6</v>
      </c>
      <c r="C14" s="24">
        <v>0.04</v>
      </c>
      <c r="D14" s="24">
        <v>3.5000000000000003E-2</v>
      </c>
      <c r="E14" s="24">
        <v>0.14050000000000001</v>
      </c>
      <c r="F14" s="24">
        <v>3.0499999999999999E-2</v>
      </c>
      <c r="G14" s="24">
        <v>0.434</v>
      </c>
      <c r="H14" s="31">
        <v>0.32</v>
      </c>
      <c r="I14" s="36"/>
      <c r="J14" s="36"/>
      <c r="K14" s="36"/>
      <c r="L14" s="36"/>
      <c r="M14" s="36"/>
    </row>
    <row r="15" spans="2:13">
      <c r="B15" s="22" t="s">
        <v>8</v>
      </c>
      <c r="C15" s="24">
        <v>0.04</v>
      </c>
      <c r="D15" s="24">
        <v>3.5000000000000003E-2</v>
      </c>
      <c r="E15" s="24">
        <v>0.13639999999999999</v>
      </c>
      <c r="F15" s="24">
        <v>2.9600000000000001E-2</v>
      </c>
      <c r="G15" s="24">
        <v>0.434</v>
      </c>
      <c r="H15" s="31">
        <v>0.32500000000000001</v>
      </c>
      <c r="I15" s="36"/>
      <c r="J15" s="36"/>
      <c r="K15" s="36"/>
      <c r="L15" s="36"/>
      <c r="M15" s="36"/>
    </row>
    <row r="16" spans="2:13">
      <c r="B16" s="22" t="s">
        <v>10</v>
      </c>
      <c r="C16" s="24">
        <v>0.04</v>
      </c>
      <c r="D16" s="24">
        <v>3.5000000000000003E-2</v>
      </c>
      <c r="E16" s="24">
        <v>0.13639999999999999</v>
      </c>
      <c r="F16" s="24">
        <v>2.9600000000000001E-2</v>
      </c>
      <c r="G16" s="24">
        <v>0.434</v>
      </c>
      <c r="H16" s="31">
        <v>0.32500000000000001</v>
      </c>
      <c r="I16" s="36"/>
      <c r="J16" s="36"/>
      <c r="K16" s="36"/>
      <c r="L16" s="36"/>
      <c r="M16" s="36"/>
    </row>
    <row r="17" spans="2:13">
      <c r="B17" s="22" t="s">
        <v>12</v>
      </c>
      <c r="C17" s="24">
        <v>0.04</v>
      </c>
      <c r="D17" s="24">
        <v>3.5000000000000003E-2</v>
      </c>
      <c r="E17" s="24">
        <v>0.12820000000000001</v>
      </c>
      <c r="F17" s="24">
        <v>2.7799999999999998E-2</v>
      </c>
      <c r="G17" s="24">
        <v>0.434</v>
      </c>
      <c r="H17" s="25" t="s">
        <v>26</v>
      </c>
      <c r="I17" s="36"/>
      <c r="J17" s="36"/>
      <c r="K17" s="36"/>
      <c r="L17" s="36"/>
      <c r="M17" s="36"/>
    </row>
    <row r="18" spans="2:13">
      <c r="B18" s="22" t="s">
        <v>14</v>
      </c>
      <c r="C18" s="24">
        <v>0.35</v>
      </c>
      <c r="D18" s="24">
        <v>0.15</v>
      </c>
      <c r="E18" s="24">
        <v>0.1603</v>
      </c>
      <c r="F18" s="24">
        <v>3.4700000000000002E-2</v>
      </c>
      <c r="G18" s="24">
        <v>0.30499999999999999</v>
      </c>
      <c r="H18" s="25" t="s">
        <v>24</v>
      </c>
      <c r="I18" s="36"/>
      <c r="J18" s="36"/>
      <c r="K18" s="36"/>
      <c r="L18" s="36"/>
      <c r="M18" s="36"/>
    </row>
    <row r="19" spans="2:13" ht="32.450000000000003" customHeight="1" thickBot="1">
      <c r="B19" s="82" t="s">
        <v>27</v>
      </c>
      <c r="C19" s="83"/>
      <c r="D19" s="83"/>
      <c r="E19" s="83"/>
      <c r="F19" s="83"/>
      <c r="G19" s="83"/>
      <c r="H19" s="84"/>
      <c r="I19" s="42"/>
      <c r="J19" s="42"/>
      <c r="K19" s="42"/>
      <c r="L19" s="42"/>
      <c r="M19" s="42"/>
    </row>
    <row r="20" spans="2:13" ht="16.149999999999999" customHeight="1" thickBot="1">
      <c r="B20" s="43"/>
      <c r="C20" s="43"/>
      <c r="D20" s="43"/>
      <c r="E20" s="43"/>
      <c r="F20" s="43"/>
      <c r="G20" s="43"/>
      <c r="H20" s="43"/>
      <c r="I20" s="42"/>
      <c r="J20" s="42"/>
      <c r="K20" s="42"/>
      <c r="L20" s="42"/>
      <c r="M20" s="42"/>
    </row>
    <row r="21" spans="2:13">
      <c r="B21" s="40" t="s">
        <v>16</v>
      </c>
      <c r="C21" s="33" t="s">
        <v>18</v>
      </c>
      <c r="D21" s="33" t="s">
        <v>19</v>
      </c>
      <c r="E21" s="33" t="s">
        <v>20</v>
      </c>
      <c r="F21" s="33" t="s">
        <v>21</v>
      </c>
      <c r="G21" s="33" t="s">
        <v>25</v>
      </c>
      <c r="H21" s="34" t="s">
        <v>28</v>
      </c>
      <c r="I21" s="36"/>
      <c r="J21" s="41"/>
      <c r="K21" s="36"/>
      <c r="L21" s="36"/>
      <c r="M21" s="36"/>
    </row>
    <row r="22" spans="2:13" ht="15.75" thickBot="1">
      <c r="B22" s="27" t="s">
        <v>30</v>
      </c>
      <c r="C22" s="28" t="s">
        <v>38</v>
      </c>
      <c r="D22" s="28" t="s">
        <v>39</v>
      </c>
      <c r="E22" s="28" t="s">
        <v>40</v>
      </c>
      <c r="F22" s="28" t="s">
        <v>41</v>
      </c>
      <c r="G22" s="28" t="s">
        <v>42</v>
      </c>
      <c r="H22" s="32" t="s">
        <v>43</v>
      </c>
      <c r="I22" s="36"/>
      <c r="J22" s="36"/>
      <c r="K22" s="36"/>
      <c r="L22" s="36"/>
      <c r="M22" s="36"/>
    </row>
    <row r="26" spans="2:13">
      <c r="D26" s="44"/>
      <c r="F26" s="45"/>
      <c r="G26" s="46"/>
    </row>
    <row r="27" spans="2:13">
      <c r="D27" s="44"/>
      <c r="F27" s="45"/>
      <c r="G27" s="46"/>
    </row>
    <row r="28" spans="2:13">
      <c r="D28" s="44"/>
      <c r="F28" s="45"/>
      <c r="G28" s="46"/>
    </row>
    <row r="29" spans="2:13">
      <c r="D29" s="44"/>
      <c r="F29" s="45"/>
      <c r="G29" s="46"/>
    </row>
    <row r="30" spans="2:13">
      <c r="D30" s="44"/>
      <c r="F30" s="45"/>
      <c r="G30" s="46"/>
    </row>
    <row r="31" spans="2:13">
      <c r="D31" s="44"/>
      <c r="F31" s="45"/>
      <c r="G31" s="46"/>
    </row>
    <row r="32" spans="2:13">
      <c r="D32" s="44"/>
      <c r="F32" s="45"/>
      <c r="G32" s="46"/>
    </row>
    <row r="34" spans="2:7">
      <c r="B34" s="47"/>
      <c r="D34" s="47"/>
      <c r="F34" s="46"/>
      <c r="G34" s="46"/>
    </row>
  </sheetData>
  <sheetProtection password="D14D" sheet="1" objects="1" scenarios="1" selectLockedCells="1" selectUnlockedCells="1"/>
  <mergeCells count="5">
    <mergeCell ref="B11:B12"/>
    <mergeCell ref="C11:H11"/>
    <mergeCell ref="B19:H19"/>
    <mergeCell ref="B2:E2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showGridLines="0" showRowColHeaders="0" zoomScale="90" zoomScaleNormal="90" workbookViewId="0">
      <selection sqref="A1:XFD1048576"/>
    </sheetView>
  </sheetViews>
  <sheetFormatPr defaultColWidth="8.85546875" defaultRowHeight="15"/>
  <cols>
    <col min="1" max="1" width="1.28515625" style="18" customWidth="1"/>
    <col min="2" max="2" width="40.140625" style="18" bestFit="1" customWidth="1"/>
    <col min="3" max="3" width="27.7109375" style="18" bestFit="1" customWidth="1"/>
    <col min="4" max="5" width="28" style="18" bestFit="1" customWidth="1"/>
    <col min="6" max="6" width="26.28515625" style="18" bestFit="1" customWidth="1"/>
    <col min="7" max="7" width="25.7109375" style="18" bestFit="1" customWidth="1"/>
    <col min="8" max="8" width="26.28515625" style="18" bestFit="1" customWidth="1"/>
    <col min="9" max="9" width="25.42578125" style="18" customWidth="1"/>
    <col min="10" max="16384" width="8.85546875" style="18"/>
  </cols>
  <sheetData>
    <row r="1" spans="2:9" ht="7.15" customHeight="1" thickBot="1"/>
    <row r="2" spans="2:9" ht="15.75" thickBot="1">
      <c r="B2" s="85" t="s">
        <v>44</v>
      </c>
      <c r="C2" s="86"/>
      <c r="D2" s="86"/>
      <c r="E2" s="87"/>
    </row>
    <row r="3" spans="2:9">
      <c r="B3" s="78" t="s">
        <v>0</v>
      </c>
      <c r="C3" s="88"/>
      <c r="D3" s="33" t="s">
        <v>1</v>
      </c>
      <c r="E3" s="34" t="s">
        <v>2</v>
      </c>
      <c r="F3" s="35"/>
      <c r="G3" s="35"/>
      <c r="H3" s="36"/>
      <c r="I3" s="36"/>
    </row>
    <row r="4" spans="2:9">
      <c r="B4" s="22" t="s">
        <v>3</v>
      </c>
      <c r="C4" s="23" t="s">
        <v>4</v>
      </c>
      <c r="D4" s="24">
        <v>4.4999999999999998E-2</v>
      </c>
      <c r="E4" s="25" t="s">
        <v>5</v>
      </c>
      <c r="F4" s="35"/>
      <c r="G4" s="35"/>
      <c r="H4" s="36"/>
      <c r="I4" s="36"/>
    </row>
    <row r="5" spans="2:9">
      <c r="B5" s="22" t="s">
        <v>6</v>
      </c>
      <c r="C5" s="23" t="s">
        <v>7</v>
      </c>
      <c r="D5" s="24">
        <v>0.09</v>
      </c>
      <c r="E5" s="26">
        <v>8100</v>
      </c>
      <c r="F5" s="35"/>
      <c r="G5" s="35"/>
      <c r="H5" s="36"/>
      <c r="I5" s="36"/>
    </row>
    <row r="6" spans="2:9">
      <c r="B6" s="22" t="s">
        <v>8</v>
      </c>
      <c r="C6" s="23" t="s">
        <v>9</v>
      </c>
      <c r="D6" s="24">
        <v>0.10199999999999999</v>
      </c>
      <c r="E6" s="26">
        <v>12420</v>
      </c>
      <c r="F6" s="35"/>
      <c r="G6" s="35"/>
      <c r="H6" s="36"/>
      <c r="I6" s="36"/>
    </row>
    <row r="7" spans="2:9">
      <c r="B7" s="22" t="s">
        <v>10</v>
      </c>
      <c r="C7" s="23" t="s">
        <v>11</v>
      </c>
      <c r="D7" s="24">
        <v>0.14000000000000001</v>
      </c>
      <c r="E7" s="26">
        <v>39780</v>
      </c>
      <c r="F7" s="35"/>
      <c r="G7" s="35"/>
      <c r="H7" s="36"/>
      <c r="I7" s="36"/>
    </row>
    <row r="8" spans="2:9">
      <c r="B8" s="22" t="s">
        <v>12</v>
      </c>
      <c r="C8" s="23" t="s">
        <v>13</v>
      </c>
      <c r="D8" s="24">
        <v>0.22</v>
      </c>
      <c r="E8" s="26">
        <v>183780</v>
      </c>
      <c r="F8" s="35"/>
      <c r="G8" s="35"/>
      <c r="H8" s="36"/>
      <c r="I8" s="36"/>
    </row>
    <row r="9" spans="2:9" ht="15.75" thickBot="1">
      <c r="B9" s="27" t="s">
        <v>14</v>
      </c>
      <c r="C9" s="28" t="s">
        <v>15</v>
      </c>
      <c r="D9" s="29">
        <v>0.33</v>
      </c>
      <c r="E9" s="30">
        <v>828000</v>
      </c>
      <c r="F9" s="35"/>
      <c r="G9" s="35"/>
      <c r="H9" s="36"/>
      <c r="I9" s="36"/>
    </row>
    <row r="10" spans="2:9" ht="15.75" thickBot="1">
      <c r="B10" s="35"/>
      <c r="C10" s="35"/>
      <c r="D10" s="35"/>
      <c r="E10" s="35"/>
      <c r="F10" s="35"/>
      <c r="G10" s="35"/>
      <c r="H10" s="36"/>
      <c r="I10" s="36"/>
    </row>
    <row r="11" spans="2:9">
      <c r="B11" s="78" t="s">
        <v>16</v>
      </c>
      <c r="C11" s="80" t="s">
        <v>17</v>
      </c>
      <c r="D11" s="80"/>
      <c r="E11" s="80"/>
      <c r="F11" s="80"/>
      <c r="G11" s="81"/>
      <c r="H11" s="37"/>
      <c r="I11" s="37"/>
    </row>
    <row r="12" spans="2:9">
      <c r="B12" s="79"/>
      <c r="C12" s="20" t="s">
        <v>18</v>
      </c>
      <c r="D12" s="20" t="s">
        <v>19</v>
      </c>
      <c r="E12" s="20" t="s">
        <v>20</v>
      </c>
      <c r="F12" s="20" t="s">
        <v>21</v>
      </c>
      <c r="G12" s="21" t="s">
        <v>22</v>
      </c>
      <c r="H12" s="36"/>
      <c r="I12" s="36"/>
    </row>
    <row r="13" spans="2:9">
      <c r="B13" s="22" t="s">
        <v>3</v>
      </c>
      <c r="C13" s="24">
        <v>0.188</v>
      </c>
      <c r="D13" s="24">
        <v>0.152</v>
      </c>
      <c r="E13" s="24">
        <v>0.1767</v>
      </c>
      <c r="F13" s="24">
        <v>3.8300000000000001E-2</v>
      </c>
      <c r="G13" s="31">
        <v>0.44500000000000001</v>
      </c>
      <c r="H13" s="36"/>
      <c r="I13" s="36"/>
    </row>
    <row r="14" spans="2:9">
      <c r="B14" s="22" t="s">
        <v>6</v>
      </c>
      <c r="C14" s="24">
        <v>0.19800000000000001</v>
      </c>
      <c r="D14" s="24">
        <v>0.152</v>
      </c>
      <c r="E14" s="24">
        <v>0.20549999999999999</v>
      </c>
      <c r="F14" s="24">
        <v>4.4499999999999998E-2</v>
      </c>
      <c r="G14" s="31">
        <v>0.4</v>
      </c>
      <c r="H14" s="36"/>
      <c r="I14" s="36"/>
    </row>
    <row r="15" spans="2:9">
      <c r="B15" s="22" t="s">
        <v>8</v>
      </c>
      <c r="C15" s="24">
        <v>0.20799999999999999</v>
      </c>
      <c r="D15" s="24">
        <v>0.152</v>
      </c>
      <c r="E15" s="24">
        <v>0.1973</v>
      </c>
      <c r="F15" s="24">
        <v>4.2700000000000002E-2</v>
      </c>
      <c r="G15" s="31">
        <v>0.4</v>
      </c>
      <c r="H15" s="36"/>
      <c r="I15" s="36"/>
    </row>
    <row r="16" spans="2:9">
      <c r="B16" s="22" t="s">
        <v>10</v>
      </c>
      <c r="C16" s="24">
        <v>0.17799999999999999</v>
      </c>
      <c r="D16" s="24">
        <v>0.192</v>
      </c>
      <c r="E16" s="24">
        <v>0.189</v>
      </c>
      <c r="F16" s="24">
        <v>4.1000000000000002E-2</v>
      </c>
      <c r="G16" s="31">
        <v>0.4</v>
      </c>
      <c r="H16" s="36"/>
      <c r="I16" s="36"/>
    </row>
    <row r="17" spans="2:9">
      <c r="B17" s="22" t="s">
        <v>12</v>
      </c>
      <c r="C17" s="24">
        <v>0.188</v>
      </c>
      <c r="D17" s="24">
        <v>0.192</v>
      </c>
      <c r="E17" s="24">
        <v>0.18079999999999999</v>
      </c>
      <c r="F17" s="24">
        <v>3.9199999999999999E-2</v>
      </c>
      <c r="G17" s="25" t="s">
        <v>23</v>
      </c>
      <c r="H17" s="36"/>
      <c r="I17" s="36"/>
    </row>
    <row r="18" spans="2:9">
      <c r="B18" s="22" t="s">
        <v>14</v>
      </c>
      <c r="C18" s="24">
        <v>0.53500000000000003</v>
      </c>
      <c r="D18" s="24">
        <v>0.215</v>
      </c>
      <c r="E18" s="24">
        <v>0.20549999999999999</v>
      </c>
      <c r="F18" s="24">
        <v>4.4499999999999998E-2</v>
      </c>
      <c r="G18" s="25" t="s">
        <v>5</v>
      </c>
      <c r="H18" s="36"/>
      <c r="I18" s="36"/>
    </row>
    <row r="19" spans="2:9">
      <c r="B19" s="22" t="s">
        <v>14</v>
      </c>
      <c r="C19" s="24">
        <v>0.53500000000000003</v>
      </c>
      <c r="D19" s="24">
        <v>0.215</v>
      </c>
      <c r="E19" s="24">
        <v>0.20549999999999999</v>
      </c>
      <c r="F19" s="24">
        <v>4.4499999999999998E-2</v>
      </c>
      <c r="G19" s="25" t="s">
        <v>5</v>
      </c>
      <c r="H19" s="36"/>
      <c r="I19" s="36"/>
    </row>
    <row r="20" spans="2:9" ht="28.9" customHeight="1" thickBot="1">
      <c r="B20" s="89" t="s">
        <v>31</v>
      </c>
      <c r="C20" s="90"/>
      <c r="D20" s="90"/>
      <c r="E20" s="90"/>
      <c r="F20" s="90"/>
      <c r="G20" s="91"/>
      <c r="H20" s="38"/>
      <c r="I20" s="38"/>
    </row>
    <row r="21" spans="2:9" ht="15.75" thickBot="1">
      <c r="B21" s="39"/>
      <c r="C21" s="39"/>
      <c r="D21" s="39"/>
      <c r="E21" s="39"/>
      <c r="F21" s="39"/>
      <c r="G21" s="39"/>
      <c r="H21" s="38"/>
      <c r="I21" s="38"/>
    </row>
    <row r="22" spans="2:9">
      <c r="B22" s="40" t="s">
        <v>16</v>
      </c>
      <c r="C22" s="33" t="s">
        <v>18</v>
      </c>
      <c r="D22" s="33" t="s">
        <v>19</v>
      </c>
      <c r="E22" s="33" t="s">
        <v>20</v>
      </c>
      <c r="F22" s="33" t="s">
        <v>21</v>
      </c>
      <c r="G22" s="34" t="s">
        <v>28</v>
      </c>
      <c r="H22" s="36"/>
      <c r="I22" s="36"/>
    </row>
    <row r="23" spans="2:9" ht="15.75" thickBot="1">
      <c r="B23" s="27" t="s">
        <v>36</v>
      </c>
      <c r="C23" s="28" t="s">
        <v>32</v>
      </c>
      <c r="D23" s="28" t="s">
        <v>33</v>
      </c>
      <c r="E23" s="28" t="s">
        <v>34</v>
      </c>
      <c r="F23" s="28" t="s">
        <v>35</v>
      </c>
      <c r="G23" s="32" t="s">
        <v>29</v>
      </c>
      <c r="H23" s="36"/>
      <c r="I23" s="36"/>
    </row>
  </sheetData>
  <sheetProtection password="D14D" sheet="1" objects="1" scenarios="1" selectLockedCells="1" selectUnlockedCells="1"/>
  <mergeCells count="5">
    <mergeCell ref="B11:B12"/>
    <mergeCell ref="C11:G11"/>
    <mergeCell ref="B20:G20"/>
    <mergeCell ref="B2:E2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RowColHeaders="0" zoomScale="90" zoomScaleNormal="90" workbookViewId="0">
      <selection sqref="A1:XFD1048576"/>
    </sheetView>
  </sheetViews>
  <sheetFormatPr defaultColWidth="8.85546875" defaultRowHeight="15"/>
  <cols>
    <col min="1" max="1" width="1.28515625" style="18" customWidth="1"/>
    <col min="2" max="2" width="38.42578125" style="18" customWidth="1"/>
    <col min="3" max="8" width="27.7109375" style="18" customWidth="1"/>
    <col min="9" max="16384" width="8.85546875" style="18"/>
  </cols>
  <sheetData>
    <row r="1" spans="2:8" ht="7.15" customHeight="1" thickBot="1"/>
    <row r="2" spans="2:8">
      <c r="B2" s="93" t="s">
        <v>45</v>
      </c>
      <c r="C2" s="80"/>
      <c r="D2" s="80"/>
      <c r="E2" s="81"/>
      <c r="F2" s="19"/>
      <c r="G2" s="19"/>
      <c r="H2" s="19"/>
    </row>
    <row r="3" spans="2:8">
      <c r="B3" s="79" t="s">
        <v>0</v>
      </c>
      <c r="C3" s="92"/>
      <c r="D3" s="20" t="s">
        <v>1</v>
      </c>
      <c r="E3" s="21" t="s">
        <v>2</v>
      </c>
      <c r="F3" s="19"/>
      <c r="G3" s="19"/>
      <c r="H3" s="19"/>
    </row>
    <row r="4" spans="2:8">
      <c r="B4" s="22" t="s">
        <v>3</v>
      </c>
      <c r="C4" s="23" t="s">
        <v>4</v>
      </c>
      <c r="D4" s="24">
        <v>0.155</v>
      </c>
      <c r="E4" s="25" t="s">
        <v>5</v>
      </c>
      <c r="F4" s="19"/>
      <c r="G4" s="19"/>
      <c r="H4" s="19"/>
    </row>
    <row r="5" spans="2:8">
      <c r="B5" s="22" t="s">
        <v>6</v>
      </c>
      <c r="C5" s="23" t="s">
        <v>7</v>
      </c>
      <c r="D5" s="24">
        <v>0.18</v>
      </c>
      <c r="E5" s="26">
        <v>4500</v>
      </c>
      <c r="F5" s="19"/>
      <c r="G5" s="19"/>
      <c r="H5" s="19"/>
    </row>
    <row r="6" spans="2:8">
      <c r="B6" s="22" t="s">
        <v>8</v>
      </c>
      <c r="C6" s="23" t="s">
        <v>9</v>
      </c>
      <c r="D6" s="24">
        <v>0.19500000000000001</v>
      </c>
      <c r="E6" s="26">
        <v>9900</v>
      </c>
      <c r="F6" s="19"/>
      <c r="G6" s="19"/>
      <c r="H6" s="19"/>
    </row>
    <row r="7" spans="2:8">
      <c r="B7" s="22" t="s">
        <v>10</v>
      </c>
      <c r="C7" s="23" t="s">
        <v>11</v>
      </c>
      <c r="D7" s="24">
        <v>0.20499999999999999</v>
      </c>
      <c r="E7" s="26">
        <v>17100</v>
      </c>
      <c r="F7" s="19"/>
      <c r="G7" s="19"/>
      <c r="H7" s="19"/>
    </row>
    <row r="8" spans="2:8">
      <c r="B8" s="22" t="s">
        <v>12</v>
      </c>
      <c r="C8" s="23" t="s">
        <v>13</v>
      </c>
      <c r="D8" s="24">
        <v>0.23</v>
      </c>
      <c r="E8" s="26">
        <v>62100</v>
      </c>
      <c r="F8" s="19"/>
      <c r="G8" s="19"/>
      <c r="H8" s="19"/>
    </row>
    <row r="9" spans="2:8" ht="15.75" thickBot="1">
      <c r="B9" s="27" t="s">
        <v>14</v>
      </c>
      <c r="C9" s="28" t="s">
        <v>15</v>
      </c>
      <c r="D9" s="29">
        <v>0.30499999999999999</v>
      </c>
      <c r="E9" s="30">
        <v>540000</v>
      </c>
      <c r="F9" s="19"/>
      <c r="G9" s="19"/>
      <c r="H9" s="19"/>
    </row>
    <row r="10" spans="2:8" ht="15.75" thickBot="1">
      <c r="B10" s="19"/>
      <c r="C10" s="19"/>
      <c r="D10" s="19"/>
      <c r="E10" s="19"/>
      <c r="F10" s="19"/>
      <c r="G10" s="19"/>
      <c r="H10" s="19"/>
    </row>
    <row r="11" spans="2:8">
      <c r="B11" s="78" t="s">
        <v>16</v>
      </c>
      <c r="C11" s="80" t="s">
        <v>17</v>
      </c>
      <c r="D11" s="80"/>
      <c r="E11" s="80"/>
      <c r="F11" s="80"/>
      <c r="G11" s="80"/>
      <c r="H11" s="81"/>
    </row>
    <row r="12" spans="2:8">
      <c r="B12" s="79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25</v>
      </c>
      <c r="H12" s="21" t="s">
        <v>28</v>
      </c>
    </row>
    <row r="13" spans="2:8">
      <c r="B13" s="22" t="s">
        <v>3</v>
      </c>
      <c r="C13" s="24">
        <v>0.25</v>
      </c>
      <c r="D13" s="24">
        <v>0.15</v>
      </c>
      <c r="E13" s="24">
        <v>0.14099999999999999</v>
      </c>
      <c r="F13" s="24">
        <v>3.0499999999999999E-2</v>
      </c>
      <c r="G13" s="24">
        <v>0.28849999999999998</v>
      </c>
      <c r="H13" s="31">
        <v>0.14000000000000001</v>
      </c>
    </row>
    <row r="14" spans="2:8">
      <c r="B14" s="22" t="s">
        <v>6</v>
      </c>
      <c r="C14" s="24">
        <v>0.23</v>
      </c>
      <c r="D14" s="24">
        <v>0.15</v>
      </c>
      <c r="E14" s="24">
        <v>0.14099999999999999</v>
      </c>
      <c r="F14" s="24">
        <v>3.0499999999999999E-2</v>
      </c>
      <c r="G14" s="24">
        <v>0.27850000000000003</v>
      </c>
      <c r="H14" s="31">
        <v>0.17</v>
      </c>
    </row>
    <row r="15" spans="2:8">
      <c r="B15" s="22" t="s">
        <v>8</v>
      </c>
      <c r="C15" s="24">
        <v>0.24</v>
      </c>
      <c r="D15" s="24">
        <v>0.15</v>
      </c>
      <c r="E15" s="24">
        <v>0.1492</v>
      </c>
      <c r="F15" s="24">
        <v>3.2300000000000002E-2</v>
      </c>
      <c r="G15" s="24">
        <v>0.23849999999999999</v>
      </c>
      <c r="H15" s="31">
        <v>0.19</v>
      </c>
    </row>
    <row r="16" spans="2:8">
      <c r="B16" s="22" t="s">
        <v>10</v>
      </c>
      <c r="C16" s="24">
        <v>0.21</v>
      </c>
      <c r="D16" s="24">
        <v>0.15</v>
      </c>
      <c r="E16" s="24">
        <v>0.15740000000000001</v>
      </c>
      <c r="F16" s="24">
        <v>3.4099999999999998E-2</v>
      </c>
      <c r="G16" s="24">
        <v>0.23849999999999999</v>
      </c>
      <c r="H16" s="31">
        <v>0.21</v>
      </c>
    </row>
    <row r="17" spans="2:8">
      <c r="B17" s="22" t="s">
        <v>12</v>
      </c>
      <c r="C17" s="24">
        <v>0.23</v>
      </c>
      <c r="D17" s="24">
        <v>0.125</v>
      </c>
      <c r="E17" s="24">
        <v>0.14099999999999999</v>
      </c>
      <c r="F17" s="24">
        <v>3.0499999999999999E-2</v>
      </c>
      <c r="G17" s="24">
        <v>0.23849999999999999</v>
      </c>
      <c r="H17" s="31">
        <v>0.23499999999999999</v>
      </c>
    </row>
    <row r="18" spans="2:8" ht="15.75" thickBot="1">
      <c r="B18" s="27" t="s">
        <v>14</v>
      </c>
      <c r="C18" s="29">
        <v>0.35</v>
      </c>
      <c r="D18" s="29">
        <v>0.155</v>
      </c>
      <c r="E18" s="29">
        <v>0.16439999999999999</v>
      </c>
      <c r="F18" s="29">
        <v>3.56E-2</v>
      </c>
      <c r="G18" s="29">
        <v>0.29499999999999998</v>
      </c>
      <c r="H18" s="32" t="s">
        <v>5</v>
      </c>
    </row>
  </sheetData>
  <sheetProtection password="D14D" sheet="1" objects="1" scenarios="1" selectLockedCells="1" selectUnlockedCells="1"/>
  <mergeCells count="4">
    <mergeCell ref="B3:C3"/>
    <mergeCell ref="C11:H11"/>
    <mergeCell ref="B2:E2"/>
    <mergeCell ref="B11:B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 AL. EF. ISSQN</vt:lpstr>
      <vt:lpstr>ANEXO III</vt:lpstr>
      <vt:lpstr>ANEXO IV</vt:lpstr>
      <vt:lpstr>ANEXO V</vt:lpstr>
    </vt:vector>
  </TitlesOfParts>
  <Manager>Jonatan Francisco Fritzen</Manager>
  <Company>Prefeitura Municipal de Portão/RS</Company>
  <LinksUpToDate>false</LinksUpToDate>
  <SharedDoc>false</SharedDoc>
  <HyperlinkBase>https://www.planalto.gov.br/ccivil_03/leis/lcp/lcp123.htm#art21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ALÍQUOTA EFETIVA DE ISSQN</dc:title>
  <dc:subject>ISSQN RETIDO SIMPLES NACIONAL</dc:subject>
  <dc:creator>Jonatan Francisco Fritzen</dc:creator>
  <cp:keywords>ISSQN; RETENÇÃO; SIMPLES NACIONAL</cp:keywords>
  <dc:description>ISSQN RETIDO CONFORME INCISO I DO §4º DA LC123/2006. 
https://www.planalto.gov.br/ccivil_03/leis/lcp/lcp123.htm#art21 </dc:description>
  <cp:lastModifiedBy>jonatan.fritzen</cp:lastModifiedBy>
  <dcterms:created xsi:type="dcterms:W3CDTF">2022-08-06T13:06:19Z</dcterms:created>
  <dcterms:modified xsi:type="dcterms:W3CDTF">2022-08-09T12:13:55Z</dcterms:modified>
  <cp:category>CALCULADORA</cp:category>
  <cp:contentStatus>ATIVO</cp:contentStatus>
</cp:coreProperties>
</file>